
<file path=[Content_Types].xml><?xml version="1.0" encoding="utf-8"?>
<Types xmlns="http://schemas.openxmlformats.org/package/2006/content-type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autoCompressPictures="0" defaultThemeVersion="202300"/>
  <mc:AlternateContent xmlns:mc="http://schemas.openxmlformats.org/markup-compatibility/2006">
    <mc:Choice Requires="x15">
      <x15ac:absPath xmlns:x15ac="http://schemas.microsoft.com/office/spreadsheetml/2010/11/ac" url="/Users/dean/Desktop/"/>
    </mc:Choice>
  </mc:AlternateContent>
  <xr:revisionPtr revIDLastSave="0" documentId="13_ncr:1_{3F93D0BE-3691-F24A-8847-A6AC7530C2D8}" xr6:coauthVersionLast="47" xr6:coauthVersionMax="47" xr10:uidLastSave="{00000000-0000-0000-0000-000000000000}"/>
  <bookViews>
    <workbookView xWindow="9520" yWindow="2780" windowWidth="40160" windowHeight="24000" tabRatio="500" xr2:uid="{00000000-000D-0000-FFFF-FFFF00000000}"/>
  </bookViews>
  <sheets>
    <sheet name="Introduction" sheetId="1" r:id="rId1"/>
    <sheet name="GRI content index" sheetId="2" r:id="rId2"/>
    <sheet name="SERF index" sheetId="3" r:id="rId3"/>
    <sheet name="National Value Distribution" sheetId="4" r:id="rId4"/>
    <sheet name="Government and Tax Transparency" sheetId="5" r:id="rId5"/>
    <sheet name="Policy Influence" sheetId="6" r:id="rId6"/>
    <sheet name="Supply Chain" sheetId="7" r:id="rId7"/>
    <sheet name="Code of Conduct " sheetId="8" r:id="rId8"/>
    <sheet name="Production" sheetId="9" r:id="rId9"/>
    <sheet name="GHG Emissions" sheetId="10" r:id="rId10"/>
    <sheet name="Energy" sheetId="11" r:id="rId11"/>
    <sheet name="Regional Energy" sheetId="12" r:id="rId12"/>
    <sheet name="Energy and Carbon Performance" sheetId="13" r:id="rId13"/>
    <sheet name="Water" sheetId="14" r:id="rId14"/>
    <sheet name="Environmental OPEX and CAPEX" sheetId="15" r:id="rId15"/>
    <sheet name="Environment &amp; Compliance" sheetId="16" r:id="rId16"/>
    <sheet name="Tailings and Waste" sheetId="17" r:id="rId17"/>
    <sheet name="Land Management &amp; Biodiversity" sheetId="18" r:id="rId18"/>
    <sheet name="Closure Costs  " sheetId="19" r:id="rId19"/>
    <sheet name="Safety" sheetId="20" r:id="rId20"/>
    <sheet name="Health" sheetId="21" r:id="rId21"/>
    <sheet name="Workforce" sheetId="22" r:id="rId22"/>
    <sheet name=" Diversity &amp; Equal Opportunity" sheetId="23" r:id="rId23"/>
    <sheet name="Remuneration " sheetId="24" r:id="rId24"/>
    <sheet name="Hiring and Turnover" sheetId="25" r:id="rId25"/>
    <sheet name="Training " sheetId="26" r:id="rId26"/>
    <sheet name="Host Community Employment" sheetId="27" r:id="rId27"/>
    <sheet name="Host Community Procurement" sheetId="28" r:id="rId28"/>
    <sheet name="Host Community Value Creation" sheetId="29" r:id="rId29"/>
    <sheet name="Socio Economic Development $" sheetId="30" r:id="rId30"/>
    <sheet name="Community Grievances" sheetId="31" r:id="rId31"/>
    <sheet name="Stakeholder Engagement" sheetId="32" r:id="rId32"/>
    <sheet name="Education Skills and Capacity " sheetId="33" r:id="rId33"/>
    <sheet name="Employee Support Programs" sheetId="34" r:id="rId34"/>
  </sheets>
  <definedNames>
    <definedName name="_xlnm.Print_Area" localSheetId="10">Energy!$A$1:$N$117</definedName>
    <definedName name="_xlnm.Print_Area" localSheetId="0">Introduction!$A$2:$J$18</definedName>
    <definedName name="_xlnm.Print_Area" localSheetId="13">Water!$A$1:$I$122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11" l="1"/>
  <c r="B10" i="11"/>
  <c r="I9" i="11"/>
  <c r="I10" i="11" s="1"/>
  <c r="H9" i="11"/>
  <c r="H10" i="11" s="1"/>
  <c r="G9" i="11"/>
  <c r="G10" i="11" s="1"/>
  <c r="F9" i="11"/>
  <c r="F10" i="11" s="1"/>
  <c r="E9" i="11"/>
  <c r="E10" i="11" s="1"/>
  <c r="D9" i="11"/>
  <c r="D10" i="11" s="1"/>
  <c r="C9" i="11"/>
  <c r="B9" i="11"/>
  <c r="I6" i="11"/>
  <c r="H6" i="11"/>
  <c r="G6" i="11"/>
  <c r="F6" i="11"/>
  <c r="E6" i="11"/>
  <c r="D6" i="11"/>
  <c r="C6" i="11"/>
  <c r="B6" i="11"/>
  <c r="E70" i="25"/>
  <c r="B70" i="25"/>
  <c r="B76" i="25"/>
  <c r="D76" i="25"/>
  <c r="D64" i="25"/>
  <c r="D65" i="25"/>
  <c r="C64" i="25"/>
  <c r="C65" i="25"/>
  <c r="B64" i="25"/>
  <c r="B65" i="25"/>
  <c r="F64" i="25"/>
  <c r="E64" i="25"/>
  <c r="B24" i="25"/>
  <c r="C24" i="25"/>
  <c r="D24" i="25"/>
  <c r="E24" i="25"/>
  <c r="F24" i="25"/>
  <c r="G24" i="25"/>
  <c r="H24" i="25"/>
  <c r="H23" i="25"/>
  <c r="H22" i="25"/>
  <c r="H21" i="25"/>
  <c r="H20" i="25"/>
  <c r="H19" i="25"/>
  <c r="H18" i="25"/>
  <c r="H17" i="25"/>
  <c r="H16" i="25"/>
  <c r="C11" i="25"/>
  <c r="D5" i="25"/>
  <c r="D6" i="25"/>
  <c r="D7" i="25"/>
  <c r="D8" i="25"/>
  <c r="D9" i="25"/>
  <c r="D10" i="25"/>
  <c r="D11" i="25"/>
  <c r="C12" i="25"/>
  <c r="B11" i="25"/>
  <c r="B12" i="25"/>
  <c r="E11" i="25"/>
  <c r="F11" i="25"/>
  <c r="F10" i="25"/>
  <c r="F9" i="25"/>
  <c r="F8" i="25"/>
  <c r="F7" i="25"/>
  <c r="F6" i="25"/>
  <c r="F5" i="25"/>
  <c r="F10" i="7"/>
  <c r="C3" i="7"/>
  <c r="D29" i="33"/>
  <c r="D30" i="33"/>
  <c r="D31" i="33"/>
  <c r="C31" i="33"/>
  <c r="C16" i="33"/>
  <c r="C10" i="33"/>
  <c r="F37" i="32"/>
  <c r="F31" i="32"/>
  <c r="F25" i="32"/>
  <c r="F13" i="32"/>
  <c r="F19" i="32"/>
  <c r="F7" i="32"/>
  <c r="F49" i="32"/>
  <c r="E37" i="32"/>
  <c r="E31" i="32"/>
  <c r="E25" i="32"/>
  <c r="E13" i="32"/>
  <c r="E19" i="32"/>
  <c r="E7" i="32"/>
  <c r="E49" i="32"/>
  <c r="D37" i="32"/>
  <c r="D31" i="32"/>
  <c r="D25" i="32"/>
  <c r="D13" i="32"/>
  <c r="D19" i="32"/>
  <c r="D7" i="32"/>
  <c r="D49" i="32"/>
  <c r="F48" i="32"/>
  <c r="E48" i="32"/>
  <c r="D48" i="32"/>
  <c r="B48" i="32"/>
  <c r="F47" i="32"/>
  <c r="E47" i="32"/>
  <c r="D47" i="32"/>
  <c r="C47" i="32"/>
  <c r="B47" i="32"/>
  <c r="F46" i="32"/>
  <c r="E46" i="32"/>
  <c r="D46" i="32"/>
  <c r="B40" i="32"/>
  <c r="B46" i="32"/>
  <c r="F43" i="32"/>
  <c r="E43" i="32"/>
  <c r="D43" i="32"/>
  <c r="F42" i="32"/>
  <c r="E42" i="32"/>
  <c r="D42" i="32"/>
  <c r="F41" i="32"/>
  <c r="E41" i="32"/>
  <c r="D41" i="32"/>
  <c r="C41" i="32"/>
  <c r="F40" i="32"/>
  <c r="E40" i="32"/>
  <c r="D40" i="32"/>
  <c r="C37" i="32"/>
  <c r="B37" i="32"/>
  <c r="C31" i="32"/>
  <c r="B31" i="32"/>
  <c r="C25" i="32"/>
  <c r="B25" i="32"/>
  <c r="C19" i="32"/>
  <c r="B19" i="32"/>
  <c r="C13" i="32"/>
  <c r="B13" i="32"/>
  <c r="C7" i="32"/>
  <c r="B7" i="32"/>
  <c r="I44" i="31"/>
  <c r="H44" i="31"/>
  <c r="G44" i="31"/>
  <c r="F44" i="31"/>
  <c r="E44" i="31"/>
  <c r="D44" i="31"/>
  <c r="C44" i="31"/>
  <c r="B44" i="31"/>
  <c r="F30" i="31"/>
  <c r="E18" i="31"/>
  <c r="E19" i="31"/>
  <c r="E25" i="31"/>
  <c r="E29" i="31"/>
  <c r="E30" i="31"/>
  <c r="D18" i="31"/>
  <c r="D19" i="31"/>
  <c r="D21" i="31"/>
  <c r="D22" i="31"/>
  <c r="D25" i="31"/>
  <c r="D27" i="31"/>
  <c r="D30" i="31"/>
  <c r="C30" i="31"/>
  <c r="B30" i="31"/>
  <c r="F14" i="31"/>
  <c r="E14" i="31"/>
  <c r="D14" i="31"/>
  <c r="C14" i="31"/>
  <c r="B14" i="31"/>
  <c r="G55" i="30"/>
  <c r="F55" i="30"/>
  <c r="E55" i="30"/>
  <c r="D55" i="30"/>
  <c r="C55" i="30"/>
  <c r="B55" i="30"/>
  <c r="G46" i="30"/>
  <c r="F46" i="30"/>
  <c r="E46" i="30"/>
  <c r="D46" i="30"/>
  <c r="C46" i="30"/>
  <c r="B46" i="30"/>
  <c r="G37" i="30"/>
  <c r="F37" i="30"/>
  <c r="E37" i="30"/>
  <c r="D37" i="30"/>
  <c r="C37" i="30"/>
  <c r="B37" i="30"/>
  <c r="G27" i="30"/>
  <c r="F27" i="30"/>
  <c r="E27" i="30"/>
  <c r="D27" i="30"/>
  <c r="C27" i="30"/>
  <c r="B27" i="30"/>
  <c r="G16" i="30"/>
  <c r="F16" i="30"/>
  <c r="E16" i="30"/>
  <c r="D16" i="30"/>
  <c r="C16" i="30"/>
  <c r="B16" i="30"/>
  <c r="C6" i="30"/>
  <c r="B6" i="30"/>
  <c r="C102" i="28"/>
  <c r="B102" i="28"/>
  <c r="D100" i="28"/>
  <c r="D99" i="28"/>
  <c r="D98" i="28"/>
  <c r="B80" i="28"/>
  <c r="C80" i="28"/>
  <c r="D80" i="28"/>
  <c r="D79" i="28"/>
  <c r="D78" i="28"/>
  <c r="D77" i="28"/>
  <c r="D76" i="28"/>
  <c r="B72" i="28"/>
  <c r="D58" i="28"/>
  <c r="B47" i="27"/>
  <c r="C47" i="27"/>
  <c r="D47" i="27"/>
  <c r="E47" i="27"/>
  <c r="F47" i="27"/>
  <c r="G47" i="27"/>
  <c r="H47" i="27"/>
  <c r="I47" i="27"/>
  <c r="J47" i="27"/>
  <c r="K47" i="27"/>
  <c r="L47" i="27"/>
  <c r="M47" i="27"/>
  <c r="N47" i="27"/>
  <c r="N46" i="27"/>
  <c r="N45" i="27"/>
  <c r="N44" i="27"/>
  <c r="N43" i="27"/>
  <c r="D39" i="27"/>
  <c r="C39" i="27"/>
  <c r="B39" i="27"/>
  <c r="F26" i="27"/>
  <c r="F27" i="27"/>
  <c r="F28" i="27"/>
  <c r="F29" i="27"/>
  <c r="F30" i="27"/>
  <c r="E30" i="27"/>
  <c r="D30" i="27"/>
  <c r="C30" i="27"/>
  <c r="B30" i="27"/>
  <c r="I20" i="27"/>
  <c r="C20" i="27"/>
  <c r="D19" i="26"/>
  <c r="C19" i="26"/>
  <c r="E17" i="26"/>
  <c r="E16" i="26"/>
  <c r="E15" i="26"/>
  <c r="E14" i="26"/>
  <c r="C59" i="23"/>
  <c r="B59" i="23"/>
  <c r="D59" i="23"/>
  <c r="D58" i="23"/>
  <c r="D57" i="23"/>
  <c r="D56" i="23"/>
  <c r="D55" i="23"/>
  <c r="D54" i="23"/>
  <c r="D53" i="23"/>
  <c r="B48" i="23"/>
  <c r="B50" i="23"/>
  <c r="C48" i="23"/>
  <c r="C50" i="23"/>
  <c r="D48" i="23"/>
  <c r="D50" i="23"/>
  <c r="E48" i="23"/>
  <c r="E50" i="23"/>
  <c r="F48" i="23"/>
  <c r="F50" i="23"/>
  <c r="G48" i="23"/>
  <c r="G50" i="23"/>
  <c r="H50" i="23"/>
  <c r="B49" i="23"/>
  <c r="C49" i="23"/>
  <c r="D49" i="23"/>
  <c r="E49" i="23"/>
  <c r="F49" i="23"/>
  <c r="G49" i="23"/>
  <c r="H49" i="23"/>
  <c r="H48" i="23"/>
  <c r="H45" i="23"/>
  <c r="H46" i="23"/>
  <c r="H44" i="23"/>
  <c r="H47" i="23"/>
  <c r="F44" i="23"/>
  <c r="F47" i="23"/>
  <c r="C44" i="23"/>
  <c r="C47" i="23"/>
  <c r="G44" i="23"/>
  <c r="E44" i="23"/>
  <c r="D44" i="23"/>
  <c r="B44" i="23"/>
  <c r="H41" i="23"/>
  <c r="H42" i="23"/>
  <c r="H40" i="23"/>
  <c r="H43" i="23"/>
  <c r="D40" i="23"/>
  <c r="D43" i="23"/>
  <c r="G40" i="23"/>
  <c r="F40" i="23"/>
  <c r="E40" i="23"/>
  <c r="C40" i="23"/>
  <c r="B40" i="23"/>
  <c r="H37" i="23"/>
  <c r="H38" i="23"/>
  <c r="H36" i="23"/>
  <c r="H39" i="23"/>
  <c r="G36" i="23"/>
  <c r="G39" i="23"/>
  <c r="F36" i="23"/>
  <c r="F39" i="23"/>
  <c r="E36" i="23"/>
  <c r="E39" i="23"/>
  <c r="D36" i="23"/>
  <c r="D39" i="23"/>
  <c r="C36" i="23"/>
  <c r="C39" i="23"/>
  <c r="B36" i="23"/>
  <c r="B39" i="23"/>
  <c r="H33" i="23"/>
  <c r="H34" i="23"/>
  <c r="H32" i="23"/>
  <c r="H35" i="23"/>
  <c r="G32" i="23"/>
  <c r="G35" i="23"/>
  <c r="F32" i="23"/>
  <c r="F35" i="23"/>
  <c r="E32" i="23"/>
  <c r="E35" i="23"/>
  <c r="D32" i="23"/>
  <c r="D35" i="23"/>
  <c r="C32" i="23"/>
  <c r="C35" i="23"/>
  <c r="B32" i="23"/>
  <c r="B35" i="23"/>
  <c r="H29" i="23"/>
  <c r="H30" i="23"/>
  <c r="H28" i="23"/>
  <c r="H31" i="23"/>
  <c r="G28" i="23"/>
  <c r="G31" i="23"/>
  <c r="F28" i="23"/>
  <c r="F31" i="23"/>
  <c r="E28" i="23"/>
  <c r="E31" i="23"/>
  <c r="D28" i="23"/>
  <c r="D31" i="23"/>
  <c r="C28" i="23"/>
  <c r="C31" i="23"/>
  <c r="B28" i="23"/>
  <c r="B31" i="23"/>
  <c r="H25" i="23"/>
  <c r="H26" i="23"/>
  <c r="H24" i="23"/>
  <c r="H27" i="23"/>
  <c r="G24" i="23"/>
  <c r="G27" i="23"/>
  <c r="F24" i="23"/>
  <c r="F27" i="23"/>
  <c r="E24" i="23"/>
  <c r="E27" i="23"/>
  <c r="D24" i="23"/>
  <c r="D27" i="23"/>
  <c r="B24" i="23"/>
  <c r="B27" i="23"/>
  <c r="C24" i="23"/>
  <c r="G13" i="23"/>
  <c r="F5" i="23"/>
  <c r="F6" i="23"/>
  <c r="F7" i="23"/>
  <c r="F8" i="23"/>
  <c r="F9" i="23"/>
  <c r="F10" i="23"/>
  <c r="F11" i="23"/>
  <c r="F12" i="23"/>
  <c r="F13" i="23"/>
  <c r="E13" i="23"/>
  <c r="D13" i="23"/>
  <c r="D91" i="22"/>
  <c r="D97" i="22"/>
  <c r="D100" i="22"/>
  <c r="D103" i="22"/>
  <c r="D106" i="22"/>
  <c r="C91" i="22"/>
  <c r="C97" i="22"/>
  <c r="C100" i="22"/>
  <c r="C103" i="22"/>
  <c r="C106" i="22"/>
  <c r="B92" i="22"/>
  <c r="B93" i="22"/>
  <c r="B94" i="22"/>
  <c r="B95" i="22"/>
  <c r="B96" i="22"/>
  <c r="B91" i="22"/>
  <c r="B98" i="22"/>
  <c r="B99" i="22"/>
  <c r="B97" i="22"/>
  <c r="B101" i="22"/>
  <c r="B102" i="22"/>
  <c r="B100" i="22"/>
  <c r="B104" i="22"/>
  <c r="B105" i="22"/>
  <c r="B103" i="22"/>
  <c r="B106" i="22"/>
  <c r="H42" i="22"/>
  <c r="O42" i="22"/>
  <c r="P42" i="22"/>
  <c r="H43" i="22"/>
  <c r="O43" i="22"/>
  <c r="P43" i="22"/>
  <c r="H44" i="22"/>
  <c r="O44" i="22"/>
  <c r="P44" i="22"/>
  <c r="H45" i="22"/>
  <c r="O45" i="22"/>
  <c r="P45" i="22"/>
  <c r="H46" i="22"/>
  <c r="O46" i="22"/>
  <c r="P46" i="22"/>
  <c r="H47" i="22"/>
  <c r="O47" i="22"/>
  <c r="P47" i="22"/>
  <c r="H48" i="22"/>
  <c r="O48" i="22"/>
  <c r="P48" i="22"/>
  <c r="H49" i="22"/>
  <c r="O49" i="22"/>
  <c r="P49" i="22"/>
  <c r="H50" i="22"/>
  <c r="O50" i="22"/>
  <c r="P50" i="22"/>
  <c r="H51" i="22"/>
  <c r="O51" i="22"/>
  <c r="P51" i="22"/>
  <c r="H52" i="22"/>
  <c r="O52" i="22"/>
  <c r="P52" i="22"/>
  <c r="H53" i="22"/>
  <c r="O53" i="22"/>
  <c r="P53" i="22"/>
  <c r="P54" i="22"/>
  <c r="O54" i="22"/>
  <c r="N54" i="22"/>
  <c r="M54" i="22"/>
  <c r="L54" i="22"/>
  <c r="K54" i="22"/>
  <c r="J54" i="22"/>
  <c r="I54" i="22"/>
  <c r="B54" i="22"/>
  <c r="C54" i="22"/>
  <c r="D54" i="22"/>
  <c r="E54" i="22"/>
  <c r="F54" i="22"/>
  <c r="G54" i="22"/>
  <c r="H54" i="22"/>
  <c r="E25" i="22"/>
  <c r="E28" i="22"/>
  <c r="E31" i="22"/>
  <c r="E19" i="22"/>
  <c r="E34" i="22"/>
  <c r="D26" i="22"/>
  <c r="F26" i="22"/>
  <c r="D27" i="22"/>
  <c r="F27" i="22"/>
  <c r="F25" i="22"/>
  <c r="D29" i="22"/>
  <c r="D30" i="22"/>
  <c r="D28" i="22"/>
  <c r="F28" i="22"/>
  <c r="D32" i="22"/>
  <c r="D33" i="22"/>
  <c r="D31" i="22"/>
  <c r="F31" i="22"/>
  <c r="D20" i="22"/>
  <c r="D21" i="22"/>
  <c r="D22" i="22"/>
  <c r="D23" i="22"/>
  <c r="D24" i="22"/>
  <c r="D19" i="22"/>
  <c r="F19" i="22"/>
  <c r="F34" i="22"/>
  <c r="G34" i="22"/>
  <c r="B25" i="22"/>
  <c r="B28" i="22"/>
  <c r="B31" i="22"/>
  <c r="B19" i="22"/>
  <c r="B34" i="22"/>
  <c r="C25" i="22"/>
  <c r="C28" i="22"/>
  <c r="C31" i="22"/>
  <c r="C19" i="22"/>
  <c r="C34" i="22"/>
  <c r="D34" i="22"/>
  <c r="F33" i="22"/>
  <c r="G33" i="22"/>
  <c r="F32" i="22"/>
  <c r="G32" i="22"/>
  <c r="G31" i="22"/>
  <c r="F30" i="22"/>
  <c r="G30" i="22"/>
  <c r="F29" i="22"/>
  <c r="G29" i="22"/>
  <c r="G28" i="22"/>
  <c r="G27" i="22"/>
  <c r="G26" i="22"/>
  <c r="G25" i="22"/>
  <c r="D25" i="22"/>
  <c r="F24" i="22"/>
  <c r="G24" i="22"/>
  <c r="F23" i="22"/>
  <c r="G23" i="22"/>
  <c r="F22" i="22"/>
  <c r="G22" i="22"/>
  <c r="F21" i="22"/>
  <c r="G21" i="22"/>
  <c r="F20" i="22"/>
  <c r="G20" i="22"/>
  <c r="G19" i="22"/>
  <c r="D12" i="22"/>
  <c r="B12" i="22"/>
  <c r="J12" i="22"/>
  <c r="H12" i="22"/>
  <c r="G12" i="22"/>
  <c r="F12" i="22"/>
  <c r="E12" i="22"/>
  <c r="C12" i="22"/>
  <c r="J11" i="22"/>
  <c r="E11" i="22"/>
  <c r="J10" i="22"/>
  <c r="E10" i="22"/>
  <c r="J9" i="22"/>
  <c r="J8" i="22"/>
  <c r="E8" i="22"/>
  <c r="J7" i="22"/>
  <c r="J6" i="22"/>
  <c r="E40" i="21"/>
  <c r="E47" i="21"/>
  <c r="D40" i="21"/>
  <c r="D47" i="21"/>
  <c r="C40" i="21"/>
  <c r="C47" i="21"/>
  <c r="B47" i="21"/>
  <c r="E33" i="21"/>
  <c r="E46" i="21"/>
  <c r="D33" i="21"/>
  <c r="D46" i="21"/>
  <c r="C33" i="21"/>
  <c r="C46" i="21"/>
  <c r="B46" i="21"/>
  <c r="E26" i="21"/>
  <c r="E45" i="21"/>
  <c r="D26" i="21"/>
  <c r="D45" i="21"/>
  <c r="C26" i="21"/>
  <c r="C45" i="21"/>
  <c r="B26" i="21"/>
  <c r="B45" i="21"/>
  <c r="E19" i="21"/>
  <c r="E44" i="21"/>
  <c r="D19" i="21"/>
  <c r="D44" i="21"/>
  <c r="C19" i="21"/>
  <c r="C44" i="21"/>
  <c r="B44" i="21"/>
  <c r="J40" i="21"/>
  <c r="I40" i="21"/>
  <c r="G40" i="21"/>
  <c r="F40" i="21"/>
  <c r="J33" i="21"/>
  <c r="I33" i="21"/>
  <c r="G33" i="21"/>
  <c r="F33" i="21"/>
  <c r="J26" i="21"/>
  <c r="I26" i="21"/>
  <c r="G26" i="21"/>
  <c r="F26" i="21"/>
  <c r="J19" i="21"/>
  <c r="I19" i="21"/>
  <c r="G19" i="21"/>
  <c r="F19" i="21"/>
  <c r="E5" i="21"/>
  <c r="E34" i="20"/>
  <c r="D5" i="21"/>
  <c r="D34" i="20"/>
  <c r="C5" i="21"/>
  <c r="C34" i="20"/>
  <c r="B5" i="21"/>
  <c r="B34" i="20"/>
  <c r="J30" i="20"/>
  <c r="H30" i="20"/>
  <c r="G30" i="20"/>
  <c r="F30" i="20"/>
  <c r="E30" i="20"/>
  <c r="D30" i="20"/>
  <c r="C30" i="20"/>
  <c r="B30" i="20"/>
  <c r="H24" i="20"/>
  <c r="G24" i="20"/>
  <c r="B24" i="20"/>
  <c r="H23" i="20"/>
  <c r="G23" i="20"/>
  <c r="B23" i="20"/>
  <c r="J22" i="20"/>
  <c r="H22" i="20"/>
  <c r="G22" i="20"/>
  <c r="E17" i="20"/>
  <c r="D17" i="20"/>
  <c r="C17" i="20"/>
  <c r="B17" i="20"/>
  <c r="E16" i="20"/>
  <c r="D16" i="20"/>
  <c r="C16" i="20"/>
  <c r="B16" i="20"/>
  <c r="H10" i="20"/>
  <c r="G10" i="20"/>
  <c r="F10" i="20"/>
  <c r="E10" i="20"/>
  <c r="D10" i="20"/>
  <c r="C10" i="20"/>
  <c r="B10" i="20"/>
  <c r="H9" i="20"/>
  <c r="G9" i="20"/>
  <c r="F9" i="20"/>
  <c r="E9" i="20"/>
  <c r="J8" i="20"/>
  <c r="H8" i="20"/>
  <c r="G8" i="20"/>
  <c r="C23" i="19"/>
  <c r="B23" i="19"/>
  <c r="E33" i="18"/>
  <c r="D33" i="18"/>
  <c r="C33" i="18"/>
  <c r="M15" i="18"/>
  <c r="K15" i="18"/>
  <c r="J15" i="18"/>
  <c r="H15" i="18"/>
  <c r="G52" i="17"/>
  <c r="G66" i="17"/>
  <c r="G80" i="17"/>
  <c r="G82" i="17"/>
  <c r="G84" i="17"/>
  <c r="F52" i="17"/>
  <c r="F66" i="17"/>
  <c r="F80" i="17"/>
  <c r="F82" i="17"/>
  <c r="F84" i="17"/>
  <c r="E52" i="17"/>
  <c r="E66" i="17"/>
  <c r="E80" i="17"/>
  <c r="E82" i="17"/>
  <c r="E84" i="17"/>
  <c r="D52" i="17"/>
  <c r="D66" i="17"/>
  <c r="D80" i="17"/>
  <c r="D78" i="17"/>
  <c r="D82" i="17"/>
  <c r="D84" i="17"/>
  <c r="C52" i="17"/>
  <c r="C66" i="17"/>
  <c r="C80" i="17"/>
  <c r="C82" i="17"/>
  <c r="C84" i="17"/>
  <c r="B80" i="17"/>
  <c r="B82" i="17"/>
  <c r="B84" i="17"/>
  <c r="O77" i="17"/>
  <c r="N77" i="17"/>
  <c r="M77" i="17"/>
  <c r="L77" i="17"/>
  <c r="K77" i="17"/>
  <c r="J77" i="17"/>
  <c r="O55" i="17"/>
  <c r="O56" i="17"/>
  <c r="O57" i="17"/>
  <c r="O58" i="17"/>
  <c r="O59" i="17"/>
  <c r="O60" i="17"/>
  <c r="O61" i="17"/>
  <c r="O62" i="17"/>
  <c r="N62" i="17"/>
  <c r="M62" i="17"/>
  <c r="L62" i="17"/>
  <c r="K62" i="17"/>
  <c r="J62" i="17"/>
  <c r="G60" i="17"/>
  <c r="F60" i="17"/>
  <c r="E60" i="17"/>
  <c r="D60" i="17"/>
  <c r="C60" i="17"/>
  <c r="G14" i="17"/>
  <c r="F14" i="17"/>
  <c r="E14" i="17"/>
  <c r="D14" i="17"/>
  <c r="G15" i="15"/>
  <c r="F15" i="15"/>
  <c r="E15" i="15"/>
  <c r="D15" i="15"/>
  <c r="B15" i="15"/>
  <c r="J10" i="15"/>
  <c r="G10" i="15"/>
  <c r="E10" i="15"/>
  <c r="D10" i="15"/>
  <c r="C10" i="15"/>
  <c r="B10" i="15"/>
  <c r="G139" i="14"/>
  <c r="G141" i="14"/>
  <c r="F139" i="14"/>
  <c r="F141" i="14"/>
  <c r="E139" i="14"/>
  <c r="E141" i="14"/>
  <c r="D141" i="14"/>
  <c r="B141" i="14"/>
  <c r="C127" i="14"/>
  <c r="B80" i="14"/>
  <c r="B127" i="14"/>
  <c r="C126" i="14"/>
  <c r="B126" i="14"/>
  <c r="C125" i="14"/>
  <c r="B125" i="14"/>
  <c r="H109" i="14"/>
  <c r="G109" i="14"/>
  <c r="F109" i="14"/>
  <c r="E109" i="14"/>
  <c r="B109" i="14"/>
  <c r="C109" i="14"/>
  <c r="D109" i="14"/>
  <c r="D108" i="14"/>
  <c r="D107" i="14"/>
  <c r="D106" i="14"/>
  <c r="D105" i="14"/>
  <c r="D104" i="14"/>
  <c r="D103" i="14"/>
  <c r="D102" i="14"/>
  <c r="D101" i="14"/>
  <c r="G81" i="14"/>
  <c r="G82" i="14"/>
  <c r="F81" i="14"/>
  <c r="F82" i="14"/>
  <c r="E81" i="14"/>
  <c r="E82" i="14"/>
  <c r="D81" i="14"/>
  <c r="D82" i="14"/>
  <c r="C81" i="14"/>
  <c r="C82" i="14"/>
  <c r="B81" i="14"/>
  <c r="B82" i="14"/>
  <c r="G41" i="14"/>
  <c r="F41" i="14"/>
  <c r="E41" i="14"/>
  <c r="D41" i="14"/>
  <c r="C41" i="14"/>
  <c r="B41" i="14"/>
  <c r="D33" i="14"/>
  <c r="C33" i="14"/>
  <c r="B33" i="14"/>
  <c r="G27" i="14"/>
  <c r="F27" i="14"/>
  <c r="E27" i="14"/>
  <c r="D27" i="14"/>
  <c r="C27" i="14"/>
  <c r="B27" i="14"/>
  <c r="G21" i="14"/>
  <c r="F21" i="14"/>
  <c r="E21" i="14"/>
  <c r="D21" i="14"/>
  <c r="C21" i="14"/>
  <c r="B21" i="14"/>
  <c r="G5" i="14"/>
  <c r="G11" i="14"/>
  <c r="G15" i="14"/>
  <c r="F5" i="14"/>
  <c r="F11" i="14"/>
  <c r="F15" i="14"/>
  <c r="E5" i="14"/>
  <c r="E11" i="14"/>
  <c r="E15" i="14"/>
  <c r="D5" i="14"/>
  <c r="D11" i="14"/>
  <c r="D15" i="14"/>
  <c r="C5" i="14"/>
  <c r="C15" i="14"/>
  <c r="B15" i="14"/>
  <c r="I36" i="13"/>
  <c r="H36" i="13"/>
  <c r="G36" i="13"/>
  <c r="F36" i="13"/>
  <c r="E36" i="13"/>
  <c r="D36" i="13"/>
  <c r="I22" i="13"/>
  <c r="H22" i="13"/>
  <c r="G22" i="13"/>
  <c r="F22" i="13"/>
  <c r="E22" i="13"/>
  <c r="D22" i="13"/>
  <c r="C22" i="13"/>
  <c r="B22" i="13"/>
  <c r="I15" i="13"/>
  <c r="H15" i="13"/>
  <c r="G15" i="13"/>
  <c r="F15" i="13"/>
  <c r="E15" i="13"/>
  <c r="D15" i="13"/>
  <c r="C15" i="13"/>
  <c r="B15" i="13"/>
  <c r="I8" i="13"/>
  <c r="H8" i="13"/>
  <c r="G8" i="13"/>
  <c r="F8" i="13"/>
  <c r="E8" i="13"/>
  <c r="D8" i="13"/>
  <c r="C8" i="13"/>
  <c r="B8" i="13"/>
  <c r="E65" i="12"/>
  <c r="D65" i="12"/>
  <c r="E47" i="12"/>
  <c r="D47" i="12"/>
  <c r="E28" i="12"/>
  <c r="D28" i="12"/>
  <c r="E9" i="12"/>
  <c r="J110" i="11"/>
  <c r="I108" i="11"/>
  <c r="H108" i="11" s="1"/>
  <c r="G108" i="11" s="1"/>
  <c r="F108" i="11" s="1"/>
  <c r="D108" i="11"/>
  <c r="B108" i="11"/>
  <c r="B106" i="11"/>
  <c r="D104" i="11"/>
  <c r="B104" i="11"/>
  <c r="F27" i="11"/>
  <c r="F93" i="11" s="1"/>
  <c r="E27" i="11"/>
  <c r="E100" i="11" s="1"/>
  <c r="D100" i="11"/>
  <c r="C20" i="11"/>
  <c r="C27" i="11"/>
  <c r="C44" i="11" s="1"/>
  <c r="B20" i="11"/>
  <c r="B100" i="11" s="1"/>
  <c r="B27" i="11"/>
  <c r="F99" i="11"/>
  <c r="E99" i="11"/>
  <c r="D99" i="11"/>
  <c r="C99" i="11"/>
  <c r="B99" i="11"/>
  <c r="F98" i="11"/>
  <c r="E98" i="11"/>
  <c r="D98" i="11"/>
  <c r="C98" i="11"/>
  <c r="B98" i="11"/>
  <c r="F97" i="11"/>
  <c r="E97" i="11"/>
  <c r="D97" i="11"/>
  <c r="C97" i="11"/>
  <c r="B97" i="11"/>
  <c r="F96" i="11"/>
  <c r="E96" i="11"/>
  <c r="D96" i="11"/>
  <c r="C96" i="11"/>
  <c r="B96" i="11"/>
  <c r="E93" i="11"/>
  <c r="D93" i="11"/>
  <c r="C27" i="9"/>
  <c r="C29" i="9"/>
  <c r="F92" i="11"/>
  <c r="E92" i="11"/>
  <c r="D92" i="11"/>
  <c r="C92" i="11"/>
  <c r="B92" i="11"/>
  <c r="F91" i="11"/>
  <c r="E91" i="11"/>
  <c r="D91" i="11"/>
  <c r="C91" i="11"/>
  <c r="B91" i="11"/>
  <c r="F90" i="11"/>
  <c r="E90" i="11"/>
  <c r="D90" i="11"/>
  <c r="C90" i="11"/>
  <c r="B90" i="11"/>
  <c r="F89" i="11"/>
  <c r="E89" i="11"/>
  <c r="D89" i="11"/>
  <c r="C89" i="11"/>
  <c r="B89" i="11"/>
  <c r="F35" i="11"/>
  <c r="E35" i="11"/>
  <c r="D35" i="11"/>
  <c r="D44" i="11" s="1"/>
  <c r="C35" i="11"/>
  <c r="B35" i="11"/>
  <c r="F43" i="11"/>
  <c r="E43" i="11"/>
  <c r="D43" i="11"/>
  <c r="C43" i="11"/>
  <c r="B43" i="11"/>
  <c r="F42" i="11"/>
  <c r="E42" i="11"/>
  <c r="D42" i="11"/>
  <c r="C42" i="11"/>
  <c r="B42" i="11"/>
  <c r="F41" i="11"/>
  <c r="E41" i="11"/>
  <c r="D41" i="11"/>
  <c r="C41" i="11"/>
  <c r="B41" i="11"/>
  <c r="F40" i="11"/>
  <c r="E40" i="11"/>
  <c r="D40" i="11"/>
  <c r="C40" i="11"/>
  <c r="B40" i="11"/>
  <c r="K9" i="11"/>
  <c r="J9" i="11"/>
  <c r="K170" i="10"/>
  <c r="J170" i="10"/>
  <c r="I170" i="10"/>
  <c r="H170" i="10"/>
  <c r="G170" i="10"/>
  <c r="F170" i="10"/>
  <c r="E170" i="10"/>
  <c r="D170" i="10"/>
  <c r="C170" i="10"/>
  <c r="B170" i="10"/>
  <c r="K78" i="10"/>
  <c r="J78" i="10"/>
  <c r="I77" i="10"/>
  <c r="H77" i="10"/>
  <c r="G77" i="10"/>
  <c r="F77" i="10"/>
  <c r="E77" i="10"/>
  <c r="D77" i="10"/>
  <c r="C77" i="10"/>
  <c r="B75" i="10"/>
  <c r="B77" i="10"/>
  <c r="I20" i="10"/>
  <c r="I24" i="10"/>
  <c r="I40" i="10"/>
  <c r="I44" i="10"/>
  <c r="I68" i="10"/>
  <c r="H20" i="10"/>
  <c r="H24" i="10"/>
  <c r="H40" i="10"/>
  <c r="H44" i="10"/>
  <c r="H68" i="10"/>
  <c r="K67" i="10"/>
  <c r="J67" i="10"/>
  <c r="I63" i="10"/>
  <c r="I67" i="10"/>
  <c r="H63" i="10"/>
  <c r="H67" i="10"/>
  <c r="G63" i="10"/>
  <c r="G67" i="10"/>
  <c r="F63" i="10"/>
  <c r="F67" i="10"/>
  <c r="E63" i="10"/>
  <c r="E67" i="10"/>
  <c r="D67" i="10"/>
  <c r="C20" i="10"/>
  <c r="C24" i="10"/>
  <c r="C44" i="10"/>
  <c r="C67" i="10"/>
  <c r="B24" i="10"/>
  <c r="B44" i="10"/>
  <c r="B67" i="10"/>
  <c r="C66" i="10"/>
  <c r="B66" i="10"/>
  <c r="C65" i="10"/>
  <c r="B65" i="10"/>
  <c r="C64" i="10"/>
  <c r="B64" i="10"/>
  <c r="D63" i="10"/>
  <c r="C63" i="10"/>
  <c r="B63" i="10"/>
  <c r="C62" i="10"/>
  <c r="B62" i="10"/>
  <c r="C61" i="10"/>
  <c r="B61" i="10"/>
  <c r="C60" i="10"/>
  <c r="B60" i="10"/>
  <c r="C59" i="10"/>
  <c r="B59" i="10"/>
  <c r="C58" i="10"/>
  <c r="B58" i="10"/>
  <c r="C57" i="10"/>
  <c r="B57" i="10"/>
  <c r="I51" i="10"/>
  <c r="G40" i="10"/>
  <c r="G44" i="10"/>
  <c r="F40" i="10"/>
  <c r="F44" i="10"/>
  <c r="E40" i="10"/>
  <c r="E44" i="10"/>
  <c r="D40" i="10"/>
  <c r="D44" i="10"/>
  <c r="K24" i="10"/>
  <c r="K29" i="10"/>
  <c r="J24" i="10"/>
  <c r="J29" i="10"/>
  <c r="I29" i="10"/>
  <c r="H29" i="10"/>
  <c r="G20" i="10"/>
  <c r="G24" i="10"/>
  <c r="G29" i="10"/>
  <c r="F20" i="10"/>
  <c r="F24" i="10"/>
  <c r="F29" i="10"/>
  <c r="E20" i="10"/>
  <c r="E24" i="10"/>
  <c r="D20" i="10"/>
  <c r="D24" i="10"/>
  <c r="K10" i="10"/>
  <c r="J10" i="10"/>
  <c r="I4" i="10"/>
  <c r="I5" i="10"/>
  <c r="I6" i="10"/>
  <c r="I7" i="10"/>
  <c r="I8" i="10"/>
  <c r="H4" i="10"/>
  <c r="H5" i="10"/>
  <c r="H6" i="10"/>
  <c r="H7" i="10"/>
  <c r="H8" i="10"/>
  <c r="G4" i="10"/>
  <c r="G5" i="10"/>
  <c r="G7" i="10"/>
  <c r="G8" i="10"/>
  <c r="F4" i="10"/>
  <c r="F5" i="10"/>
  <c r="F6" i="10"/>
  <c r="F7" i="10"/>
  <c r="F8" i="10"/>
  <c r="E4" i="10"/>
  <c r="E5" i="10"/>
  <c r="E6" i="10"/>
  <c r="E7" i="10"/>
  <c r="E8" i="10"/>
  <c r="D4" i="10"/>
  <c r="D5" i="10"/>
  <c r="D6" i="10"/>
  <c r="D7" i="10"/>
  <c r="D8" i="10"/>
  <c r="C8" i="10"/>
  <c r="B4" i="10"/>
  <c r="B5" i="10"/>
  <c r="B6" i="10"/>
  <c r="B7" i="10"/>
  <c r="B8" i="10"/>
  <c r="D10" i="7"/>
  <c r="C10" i="7"/>
  <c r="E10" i="7"/>
  <c r="E9" i="7"/>
  <c r="E8" i="7"/>
  <c r="E7" i="7"/>
  <c r="E6" i="7"/>
  <c r="B3" i="7"/>
  <c r="B2" i="7"/>
  <c r="G2" i="6"/>
  <c r="G3" i="6"/>
  <c r="G4" i="6"/>
  <c r="G5" i="6"/>
  <c r="G6" i="6"/>
  <c r="G7" i="6"/>
  <c r="G9" i="6"/>
  <c r="G10" i="6"/>
  <c r="G11" i="6"/>
  <c r="G13" i="6"/>
  <c r="F2" i="6"/>
  <c r="F3" i="6"/>
  <c r="F4" i="6"/>
  <c r="F5" i="6"/>
  <c r="F7" i="6"/>
  <c r="F9" i="6"/>
  <c r="F10" i="6"/>
  <c r="F11" i="6"/>
  <c r="F13" i="6"/>
  <c r="E2" i="6"/>
  <c r="E3" i="6"/>
  <c r="E4" i="6"/>
  <c r="E5" i="6"/>
  <c r="E7" i="6"/>
  <c r="E9" i="6"/>
  <c r="E10" i="6"/>
  <c r="E11" i="6"/>
  <c r="E13" i="6"/>
  <c r="D4" i="6"/>
  <c r="D5" i="6"/>
  <c r="D7" i="6"/>
  <c r="D9" i="6"/>
  <c r="D10" i="6"/>
  <c r="D11" i="6"/>
  <c r="D13" i="6"/>
  <c r="C13" i="6"/>
  <c r="B13" i="6"/>
  <c r="B6" i="5"/>
  <c r="G6" i="4"/>
  <c r="G2" i="4"/>
  <c r="C100" i="11" l="1"/>
  <c r="B44" i="11"/>
  <c r="E44" i="11"/>
  <c r="B93" i="11"/>
  <c r="F100" i="11"/>
  <c r="C93" i="11"/>
  <c r="F44" i="11"/>
</calcChain>
</file>

<file path=xl/sharedStrings.xml><?xml version="1.0" encoding="utf-8"?>
<sst xmlns="http://schemas.openxmlformats.org/spreadsheetml/2006/main" count="3333" uniqueCount="1719">
  <si>
    <t xml:space="preserve">Gold Fields is committed to implementing sound environmental, social, governance (ESG) policies and programmes, as they are intrinsic to our long-term sustainability and financial success. The success of our ESG commitment requires assessment of a wide range of ESG performance data, delivered regularly and transparently. </t>
  </si>
  <si>
    <t xml:space="preserve">These tables provide our stakeholders with a comprehensive overview of our ESG performance and should give them a level of assurance that we are on the right track on the sustainability journey and not just “green-washing’’. </t>
  </si>
  <si>
    <t xml:space="preserve">Gold Fields' ESG Data summarises our ESG performance for the 2023 reporting year and provides, where possible, up to 5-year performance trends on consolidated social, environmental and economic data. Changes to annual data and re-statements may occur throughout the year.  </t>
  </si>
  <si>
    <t>For additional information about Gold Fields'  communications and investor presentations, see: https://www.goldfields.com/investors.php</t>
  </si>
  <si>
    <t>Currencies: All financial figures are quoted in U.S. dollars unless otherwise stated.</t>
  </si>
  <si>
    <t>GRI Content Index for IAR 2023</t>
  </si>
  <si>
    <t>Statement of use</t>
  </si>
  <si>
    <t>Gold Fields has reported in accordance with the GRI Standards for the period 1 January 2023 to 31 December 2023</t>
  </si>
  <si>
    <t>GRI 1 used</t>
  </si>
  <si>
    <t>GRI 1: Foundation 2021</t>
  </si>
  <si>
    <t>Applicable GRI Sector Standard(s)</t>
  </si>
  <si>
    <t>Mining Sector Standard in Progress</t>
  </si>
  <si>
    <t>This index also cross references to the International Council on Mining and Metals (ICMM) Principles, UN Global Compact (UNGC) Principles, UN Sustainable Development Goals (SDGs) and the Sustainability Accounting Standards Board (SASB), since amalgamated under the Value Reporting Foundation. The scope of this index covers non-financial data for 2023 for our eight operating mines and excludes our non-managed Asanko Gold Mine JV and the Salares Norte project. Where relevant, data from Darlot (which was sold in 2017) is included for the period January to October 2017 and Gruyere, a 50/50 joint venture with Gold Road Resources, is included from May 2019.</t>
  </si>
  <si>
    <t>Links to Material reports:</t>
  </si>
  <si>
    <t>Unless a specific link is provided in the disclosures, please use the above URL's</t>
  </si>
  <si>
    <t>GRI Standards</t>
  </si>
  <si>
    <t>Disclosure</t>
  </si>
  <si>
    <t>Page Number(s) andor URL(s)</t>
  </si>
  <si>
    <t>GRI SECTOR STANDARD REF. NO.</t>
  </si>
  <si>
    <t>UNGC</t>
  </si>
  <si>
    <t>ICMM</t>
  </si>
  <si>
    <t>SASB</t>
  </si>
  <si>
    <t>SDG</t>
  </si>
  <si>
    <t>General disclosures</t>
  </si>
  <si>
    <t>GRI 2: General Disclosures 2021</t>
  </si>
  <si>
    <t>2-1 Organizational details</t>
  </si>
  <si>
    <t>IAR</t>
  </si>
  <si>
    <t>2-2 Entities included in the organization’s sustainability reporting</t>
  </si>
  <si>
    <t>About this report; Reporting scope and boundary, pg 03
Where we operate pgs 06 - 07</t>
  </si>
  <si>
    <t>2-3 Reporting period, frequency and contact point</t>
  </si>
  <si>
    <t>About this Report pg 03
Administration and corporate information pg 95</t>
  </si>
  <si>
    <t>2-4 Restatements of information</t>
  </si>
  <si>
    <t>Reporting Boundary pg 03
Energy and Carbon Management pg 71</t>
  </si>
  <si>
    <t>pgs 18 - 19, 37</t>
  </si>
  <si>
    <t>2-5 External assurance</t>
  </si>
  <si>
    <t>Assurance statement pgs 90 - 94</t>
  </si>
  <si>
    <t>AFR</t>
  </si>
  <si>
    <t>Audit committee, pgs 07 - 11
Independent Auditors report pgs 89 - 95</t>
  </si>
  <si>
    <t>RTS</t>
  </si>
  <si>
    <t>Pgs 66 - 67</t>
  </si>
  <si>
    <t>CCR</t>
  </si>
  <si>
    <t>Pgs 41 - 43</t>
  </si>
  <si>
    <t>2-6 Activities, value chain and other business relationships</t>
  </si>
  <si>
    <t>EM-MM- 000.A</t>
  </si>
  <si>
    <t>About this report pg 03
Where we operate pgs 06 – 07 
Our business model pgs 09 - 11
Maintaining good governance pgs 13 - 19
Our stakeholders pgs 32 - 34
Our communities pgs 8 - 11, 13, 23, 28, 35, 55 - 60
Building a safe and respectful workplace pgs 38 - 45; 
Environmental stewardship pgs 15, 67 - 76
Human rights pgs 15, 31, 34 - 35, 41 - 43, 59, 71</t>
  </si>
  <si>
    <t>Overview of stakeholder value pg 6</t>
  </si>
  <si>
    <t>pgs 12 - 13, 22, 32-34</t>
  </si>
  <si>
    <t>Website:</t>
  </si>
  <si>
    <t>EM-MM- 000.B</t>
  </si>
  <si>
    <t>Where we operate pgs 06 - 07 
Our business model pg 09 - 11
Our workforce profile pg 38
Value creation for our stakeholders pgs 55 - 73;</t>
  </si>
  <si>
    <t>Employees pgs 26, 34, 43, 52, 60
Value Creation pgs 05 - 07, 27, 35, 45, 53
Social and Economic Reporting pgs 08 - 09</t>
  </si>
  <si>
    <t>2-8 Workers who are not employees</t>
  </si>
  <si>
    <t>Our workforce profile pg 38</t>
  </si>
  <si>
    <t>ESG Data – Workforce</t>
  </si>
  <si>
    <t>2-9 Governance structure and composition</t>
  </si>
  <si>
    <t>1,2,4</t>
  </si>
  <si>
    <t>Our Board of Directors pgs 16 - 18</t>
  </si>
  <si>
    <t>GRR</t>
  </si>
  <si>
    <t>Governance Structure pgs 12 - 19</t>
  </si>
  <si>
    <t>https://www.goldfields.com/executive-directors.php</t>
  </si>
  <si>
    <t>2-10 Nomination and selection of the highest governance body</t>
  </si>
  <si>
    <t>Governance Review pgs 14 - 16
Application of King IV within Gold Fields pgs 29 - 32
Application of section 3.84 of the JSE Listings Requirements pgs 33 - 34</t>
  </si>
  <si>
    <t>2-11 Chair of the highest governance body</t>
  </si>
  <si>
    <t>Governance Structure pgs 12 - 16</t>
  </si>
  <si>
    <t>2-12 Role of the highest governance body in overseeing the management of impacts</t>
  </si>
  <si>
    <t>1, 2,7,8,9,10</t>
  </si>
  <si>
    <t>1,2,4,6,10</t>
  </si>
  <si>
    <t>Our business model pgs 09 - 11
Risks and Opportunities pgs 25 - 31 
Material matters pg 35
Chairperson's Report pgs 13 - 14 
Maintaining good governance pgs 15 - 19 
Key Board focus areas for 2023 pg 19
CEO Report pgs 21 - 23 
Delivering on our ESG commitments pgs 23, 28 - 29, 55, 57, 63, 67 - 70
Value creation for our stakeholders pgs 55 - 73; 
Assurance statements pgs 90 - 95</t>
  </si>
  <si>
    <t>Value Creation  pgs 4, 19</t>
  </si>
  <si>
    <t>2-13 Delegation of responsibility for managing impacts</t>
  </si>
  <si>
    <t>Risks and Opportunities pgs 25 - 31
Material matters pg 35
CEO Report pgs 21 - 23 
Delivering on our ESG commitments pgs 23, 28 - 29, 55, 57, 63, 67 - 70
Value creation for our stakeholders pgs 55 - 73;</t>
  </si>
  <si>
    <t>pgs 04, 19</t>
  </si>
  <si>
    <t>pgs 03, 07</t>
  </si>
  <si>
    <t>https://www.goldfields.com/management-approaches.php</t>
  </si>
  <si>
    <t>2-14 Role of the highest governance body in sustainability reporting</t>
  </si>
  <si>
    <t>1,10</t>
  </si>
  <si>
    <t>About this Report pgs 03 - 04
Chairperson's report pgs 13 - 14
Delivering on our ESG commitments pgs 23, 28 - 29
Key Board focus areas for 2023 pg 19</t>
  </si>
  <si>
    <t>Board SHSD Committee and SET Committee pgs 23, 25</t>
  </si>
  <si>
    <t>Directors Report pgs 11 - 14; Audit Committe Report pgs 06 - 10</t>
  </si>
  <si>
    <t>2-15 Conflicts of interest</t>
  </si>
  <si>
    <t>Ensuring we do business ethically pgs 07 - 08, 29
Legal and Compliance pg 7</t>
  </si>
  <si>
    <t>Audit Committe Report pgs 06 - 10</t>
  </si>
  <si>
    <t>https://www.goldfields.com/code-of-conduct/index.php</t>
  </si>
  <si>
    <t>Memorandum of Incorporation:</t>
  </si>
  <si>
    <t>https://www.goldfields.com/standards-and-principles.php</t>
  </si>
  <si>
    <t>2-16 Communication of critical concerns</t>
  </si>
  <si>
    <t>1,2,4,10</t>
  </si>
  <si>
    <t>Our Board of Directors pgs 16 - 18
Our business model pgs 9 - 11
CEO Report pgs 21 - 23
Risks and Opportunities pgs 25 - 31
Material matters pg 35
Maintaining good governance pgs 15 - 19</t>
  </si>
  <si>
    <t>Note 38 Contingent Liabilities pgs 159 - 160</t>
  </si>
  <si>
    <t>Key focus areas pgs 09 - 13</t>
  </si>
  <si>
    <t>Human Rights pgs 14 - 19</t>
  </si>
  <si>
    <t>2-17 Collective knowledge of the highest governance body</t>
  </si>
  <si>
    <t>Our Board of Directors pgs 16 - 18
Key Board focus areas for 2023 pg 19</t>
  </si>
  <si>
    <t>Key focus areas pgs 09 - 13 
Board Expertise pg 14</t>
  </si>
  <si>
    <t>2-18 Evaluation of the performance of the highest governance body</t>
  </si>
  <si>
    <t>Governance Structure pgs 12 - 27
Remuneration Report pgs 36 - 50</t>
  </si>
  <si>
    <t>https://www.goldfields.com/this-is-gold-fields.php</t>
  </si>
  <si>
    <t>https://www.goldfields.com/our-commitment.php</t>
  </si>
  <si>
    <t>2-19 Remuneration policies</t>
  </si>
  <si>
    <t>1,2</t>
  </si>
  <si>
    <t>Our workforce profile pg 40</t>
  </si>
  <si>
    <t>Remuneration Report pgs 36 - 50</t>
  </si>
  <si>
    <t>2-20 Process to determine remuneration</t>
  </si>
  <si>
    <t>2-21 Annual total compensation ratio</t>
  </si>
  <si>
    <t>ESG Data - Remuneration</t>
  </si>
  <si>
    <t>2-22 Statement on sustainable development strategy</t>
  </si>
  <si>
    <t>2, 10</t>
  </si>
  <si>
    <t>Chairperson's Report pgs 13 - 14
Our stakeholders pgs 32 - 34
CEO Report pgs 21 - 23, 55
Delivering on our ESG commitments pgs 23, 28 - 29, 55, 57, 63, 67 - 70
Value creation for our stakeholders pgs 55 - 73;</t>
  </si>
  <si>
    <t>pg 04, 07</t>
  </si>
  <si>
    <t>2-23 Policy commitments</t>
  </si>
  <si>
    <t>1,2,6,7,10</t>
  </si>
  <si>
    <t>EM-MM- 510a.1</t>
  </si>
  <si>
    <t>Risks and Opportunities pg 25 - 31
Our Board Committees pgs 19 - 28
Key Board focus areas for 2023 pg 19
CEO Report pgs 21 - 23
Building a safe and respectful workplace pg 38 - 45
Financial Performance pgs 52 - 53
Our stakeholders pgs 32 - 34, 56 - 66
Environmental Stewardship pgs 67 - 76</t>
  </si>
  <si>
    <t>Governance Review pgs 06 - 34</t>
  </si>
  <si>
    <t>How we create stakeholder value pgs 04 - 22</t>
  </si>
  <si>
    <t>2-24 Embedding policy commitments</t>
  </si>
  <si>
    <t>Risks and Opportunities pg 25 - 31
Our Board Committees pgs 19 - 28
Key Board focus areas for 2023 pg 19
CEO Report pgs 21 - 23
Building a safe and respectful workplace pgs 38 - 45
Financial Performance pgs 52 - 53
Our stakeholders pgs 32 - 34, 56 - 66
Environmental Stewardship pgs 67 - 76</t>
  </si>
  <si>
    <t>Governance Standards and principles pgs 8, 20 - 27</t>
  </si>
  <si>
    <t>How we create stakeholder value pgs 4 - 22</t>
  </si>
  <si>
    <t>2-25 Processes to remediate negative impacts</t>
  </si>
  <si>
    <t>Risks and Opportunities pgs 25 - 31
Material matters pg 35
Managing host community impact and risks pgs 59 - 60
Environmental Stewardship pgs 67 - 76
Tailings Management pgs 75 - 76</t>
  </si>
  <si>
    <t>Leveraging culture for improved delivery pgs 10 - 13
Human Rights pgs 14 - 18
Top 10 Risks pgs 25, 33, 42, 51,59
Important topics for stakeholders pgs 26, 28, 29, 34, 35, 37 - 38, 43, 46 - 47, 52 - 55, 60, 64</t>
  </si>
  <si>
    <t>pgs 21 - 23</t>
  </si>
  <si>
    <t>2-26 Mechanisms for seeking advice and raising concerns</t>
  </si>
  <si>
    <t>1.2.10</t>
  </si>
  <si>
    <t>EM-MM- 510a.1.</t>
  </si>
  <si>
    <t>Our Board of Directors pgs 16 - 18
Building a safe and respectful workplace pgs 38 - 45
Value creation for our stakeholders pgs 55 - 73</t>
  </si>
  <si>
    <t>Leveraging culture for improved delivery pgs 10 - 13
Human Rights pgs 14 - 18
Employees pgs 26, 34, 43, 52, 60</t>
  </si>
  <si>
    <t>https://www.goldfields.com/stakeholder-engagement.php</t>
  </si>
  <si>
    <t>Ethics and Code of Conduct</t>
  </si>
  <si>
    <t>ESG Data - Community Grievances</t>
  </si>
  <si>
    <t>2-27 Compliance with laws and regulations</t>
  </si>
  <si>
    <t>Human rights pgs 15, 31, 34 - 35, 41 - 43, 59, 71
Risks and Opportunities pgs 25 - 31
Value creation for our stakeholders pgs 55 - 73;  
Environmental Stewardship pgs 67 - 76</t>
  </si>
  <si>
    <t>Human Rights pgs 2, 13 - 19, 29, 38, 46, 53 - 54
Value Creation pgs 05 - 09,  16, 27, 29, 35, 36, 45, 48, 53, 61</t>
  </si>
  <si>
    <t>Transition Risks pgs 26 - 27</t>
  </si>
  <si>
    <t>https://www.goldfields.com/sustainability-overview.php</t>
  </si>
  <si>
    <t>https://www.goldfields.com/risk-materiality.php</t>
  </si>
  <si>
    <t>Code of Conduct</t>
  </si>
  <si>
    <t>https://www.goldfields.com/code-of-conduct.php</t>
  </si>
  <si>
    <t>ESG Data – Environment</t>
  </si>
  <si>
    <t>Closure MM10 - Number and % of operations with closure plans</t>
  </si>
  <si>
    <t>2-28 Membership associations</t>
  </si>
  <si>
    <t>2, 4</t>
  </si>
  <si>
    <t>About this Report, pg 03</t>
  </si>
  <si>
    <t>Standards and principles pg 08</t>
  </si>
  <si>
    <t>pg 03</t>
  </si>
  <si>
    <t>2-29 Approach to stakeholder engagement</t>
  </si>
  <si>
    <t>Material matters pg 35
Risks and Opportunities pg 25 - 31
Our Board Committees pgs 19 - 28
Key Board focus areas for 2023 pg 19
CEO Report pgs 21 - 23
Building a safe and respectful workplace pg 38 - 45
Financial Performance pgs 52 - 53
Our stakeholders pgs 32 - 34, 56 - 66
Environmental Stewardship pgs 67 - 76
Value creation for our stakeholders pgs 55 - 73;   
Delivering on our  commitments pg 23, 28 - 29, 55, 57, 63, 67 - 70</t>
  </si>
  <si>
    <t>Full report</t>
  </si>
  <si>
    <t>2-30 Collective bargaining agreements</t>
  </si>
  <si>
    <t>1,3</t>
  </si>
  <si>
    <t>EM-MM- 310a.1.</t>
  </si>
  <si>
    <t>Our workforce profile pg 38 
Organised labour pg 45</t>
  </si>
  <si>
    <t>Human rights pgs 14 - 17</t>
  </si>
  <si>
    <t>Material topics</t>
  </si>
  <si>
    <t>GRI 3: Material Topics 2021</t>
  </si>
  <si>
    <t>3-1 Process to determine material topics</t>
  </si>
  <si>
    <t>About this report pg 03
Material matters pg 35
Risks and Opportunities pgs 25 - 31</t>
  </si>
  <si>
    <t>3-2 List of material topics</t>
  </si>
  <si>
    <t>Material matters pg 35</t>
  </si>
  <si>
    <t>Economic performance</t>
  </si>
  <si>
    <t>3-3 Management of material topics</t>
  </si>
  <si>
    <t>6,10</t>
  </si>
  <si>
    <t>2,4,9</t>
  </si>
  <si>
    <t>Maintaining good governance pgs 13 - 19
Building a safe and respectful workplace pgs 38 - 45
Production and cost performance pgs 46 - 51
Financial Performance pgs 52 - 53
Environmental Stewardship pgs 67 - 76
Value creation for our stakeholders pgs 55 - 73;</t>
  </si>
  <si>
    <t>Value Creation pgs 05 - 09,  16, 27, 29, 35, 36, 45, 48, 53, 61
Delivering on our  commitments pgs 23, 28 - 29, 55, 57, 63, 67 - 70</t>
  </si>
  <si>
    <t>– Direct and Indirect Economic Impacts</t>
  </si>
  <si>
    <t>https://www.goldfields.com/investor-overview.php</t>
  </si>
  <si>
    <t>GRI 201: Economic Performance 2016</t>
  </si>
  <si>
    <t>201-1 Direct economic value generated and distributed</t>
  </si>
  <si>
    <t>Maintaining good governance pgs 13 - 19
Our stakeholders pgs 32 - 34
Building a safe and respectful workplace pgs 38 - 45
Production and cost performance pgs 46 - 51
Financial Performance pgs 52 - 53
Governments pg 61
Environmental Stewardship pgs 67 - 76
Value creation for our stakeholders pgs 55 - 73;  
Delivering on our  commitments pgs 23, 28 - 29, 55, 57, 63, 67 - 70</t>
  </si>
  <si>
    <t>Value Creation pgs 05 - 09,  16, 27, 29, 35, 36, 45, 48, 53, 61</t>
  </si>
  <si>
    <t>https://www.goldfields.com/mine-overview.php</t>
  </si>
  <si>
    <t>201-2 Financial implications and other risks and opportunities due to climate change</t>
  </si>
  <si>
    <t>7, 8,9</t>
  </si>
  <si>
    <t>1,6</t>
  </si>
  <si>
    <t>Unpacking our strategy pg 08
Production and cost performance pgs 46 - 51
Capital allocation and debt management pgs 52 - 53
Environmental stewardship pgs 67 - 76
Energy and Carbon Management pgs 70 - 72
Value creation for our stakeholders pgs 55 - 73;</t>
  </si>
  <si>
    <t>Value Creation  pgs 05 - 07, 27, 35, 45</t>
  </si>
  <si>
    <t>pgs 15 - 27</t>
  </si>
  <si>
    <t>201-3 Defined benefit plan obligations and other retirement plans</t>
  </si>
  <si>
    <t>6, 10</t>
  </si>
  <si>
    <t>Full Remuneration Report pgs 36 - 50</t>
  </si>
  <si>
    <t>201-4 Financial assistance received from government</t>
  </si>
  <si>
    <t>Government Pg 61</t>
  </si>
  <si>
    <t>Market presence</t>
  </si>
  <si>
    <t>Where we operate pgs 06 - 07
Material matters pg 35</t>
  </si>
  <si>
    <t>ESG Data – Diversity and Equal Opportunity</t>
  </si>
  <si>
    <t>– Employment</t>
  </si>
  <si>
    <t>https://www.goldfields.com/operations.php</t>
  </si>
  <si>
    <t>GRI 202: Market Presence 2016</t>
  </si>
  <si>
    <t>202-1 Ratios of standard entry level wage by gender compared to local minimum wage</t>
  </si>
  <si>
    <t>ESG Data – Remuneration</t>
  </si>
  <si>
    <t>202-2 Proportion of senior management hired from the local community</t>
  </si>
  <si>
    <t>ESG Data – Host Community Employment</t>
  </si>
  <si>
    <t>2,9</t>
  </si>
  <si>
    <t>Indirect economic impacts</t>
  </si>
  <si>
    <t>1,3,9,10</t>
  </si>
  <si>
    <t>https://www.goldfields.com/policies.php</t>
  </si>
  <si>
    <t>https://www.goldfields.com/pdf/sustainbility/guidelines/community-relations-and-stakeholder-engagement/community-relations.pdf</t>
  </si>
  <si>
    <t>GRI 203: Indirect Economic Impacts 2016</t>
  </si>
  <si>
    <t>203-1 Infrastructure investments and services supported</t>
  </si>
  <si>
    <t>SED Investments pgs 09, 32, 33, 56, 59
Capital allocation and debt management pgs 52 - 53</t>
  </si>
  <si>
    <t>Investment in renewable energy pgs 16 - 17</t>
  </si>
  <si>
    <t>Stakeholder value pgs 06, 27, 29, 30, 36, 39, 45, 53, 56, 62, 65</t>
  </si>
  <si>
    <t>ESG Data – Socio Economic Development</t>
  </si>
  <si>
    <t>203-2 Significant indirect economic impacts</t>
  </si>
  <si>
    <t>Our stakeholders pgs 32 - 34
Capital allocation and debt managment pgs 52 - 53
Value creation for our stakeholders pgs 55 - 73;   
Delivering on our  commitments pgs 23, 28 - 29, 55, 57, 63, 67 - 70</t>
  </si>
  <si>
    <t>Procurement practices</t>
  </si>
  <si>
    <t>Our stakeholders pg 33
Value creation for our stakeholders pgs 55 - 73;  
Delivering on our  commitments pgs 23, 28 - 29, 55, 57, 63, 67 - 70</t>
  </si>
  <si>
    <t>ESG Data – Host Community Procurement</t>
  </si>
  <si>
    <t>ESG Data – Host Community Value Creation</t>
  </si>
  <si>
    <t>ESG Data – Socio Economic Development Spend</t>
  </si>
  <si>
    <t>GRI 204: Procurement Practices 2016</t>
  </si>
  <si>
    <t>204-1 Proportion of spending on local suppliers</t>
  </si>
  <si>
    <t>Our stakeholders pg 33
Value creation for our stakeholders pgs 55 - 73;  
Delivering on our  commitments pgs 23, 28 - 29, 55, 57, 63, 67 - 70
Mining Charter Scorecard pgs 63 - 66</t>
  </si>
  <si>
    <t>ESG Data – National Value Distribution</t>
  </si>
  <si>
    <t>ESG Data – Supply Chain</t>
  </si>
  <si>
    <t>https://www.goldfields.com/introduction-vision-and-overview.php</t>
  </si>
  <si>
    <t>Anti-corruption</t>
  </si>
  <si>
    <t>Maintaining good governance pgs 13 - 19
Government relations pgs 61 - 66</t>
  </si>
  <si>
    <t>– Ethics, Conduct and Integrity</t>
  </si>
  <si>
    <t>GRI 205: Anti-corruption 2016</t>
  </si>
  <si>
    <t>205-1 Operations assessed for risks related to corruption</t>
  </si>
  <si>
    <t>205-2 Communication and training about anti-corruption policies and procedures</t>
  </si>
  <si>
    <t>205-3 Confirmed incidents of corruption and actions taken</t>
  </si>
  <si>
    <t>Anti-competitive behavior</t>
  </si>
  <si>
    <t>Maintaining good governance pgs 13 - 19</t>
  </si>
  <si>
    <t>Sustainability Standards pg 08
SET Committee pg 08</t>
  </si>
  <si>
    <t>GRI 206: Anti-competitive Behavior 2016</t>
  </si>
  <si>
    <t>206-1 Legal actions for anti-competitive behavior, anti-trust, and monopoly practices</t>
  </si>
  <si>
    <t>This GRI Content Index, During 2023, there were no legal actions against Gold
Fields for anti-competitive behaviour, anti-trust, and monopoly practices.</t>
  </si>
  <si>
    <t>1,9</t>
  </si>
  <si>
    <t>Tax</t>
  </si>
  <si>
    <t>Governments pgs 34, 61 - 63</t>
  </si>
  <si>
    <t>Audit Committee pg 21</t>
  </si>
  <si>
    <t>Royalties and Taxes pgs 30 - 32</t>
  </si>
  <si>
    <t>www.goldfields.com/pdf/about-us/corporate-governance/policies/2022/gfl-updated-tax-policy.pdf</t>
  </si>
  <si>
    <t>https://www.goldfields.com/pdf/about-us/corporate-governance/policies/2022/gfl-updated-tax-policy.pdf</t>
  </si>
  <si>
    <t>GRI 207: Tax 2019</t>
  </si>
  <si>
    <t>207-1 Approach to tax</t>
  </si>
  <si>
    <t>207-2 Tax governance, control, and risk management</t>
  </si>
  <si>
    <t>207-3 Stakeholder engagement and management of concerns related to tax</t>
  </si>
  <si>
    <t>207-4 Country-by-country reporting</t>
  </si>
  <si>
    <t>Payments to Governments pg 61</t>
  </si>
  <si>
    <t>Find our full Tax Strategy and Policy, which now includes tax risk and governance, at</t>
  </si>
  <si>
    <t>ESG Data - Government and Tax Tranparency</t>
  </si>
  <si>
    <t>Materials</t>
  </si>
  <si>
    <t>https://www.goldfields.com/sustainability-reporting.php</t>
  </si>
  <si>
    <t>https://www.goldfields.com/pdf/about-us/corporate-governance/policies/2022/materials-supply-chain-stewardship-policy-statement.pdf</t>
  </si>
  <si>
    <t>See 301-1 for cyanide management representing the most potentially hazardous substance</t>
  </si>
  <si>
    <t>GRI 301: Materials 2016</t>
  </si>
  <si>
    <t>301-1 Materials used by weight or volume</t>
  </si>
  <si>
    <t>7,8</t>
  </si>
  <si>
    <t>Our business model pgs 09 - 10
Tailings and waste pgs 75 - 76</t>
  </si>
  <si>
    <t>pg 33</t>
  </si>
  <si>
    <t>301-2 Recycled input materials used</t>
  </si>
  <si>
    <t>ESG Data – Environment – refer to 306-2</t>
  </si>
  <si>
    <t>https://www.goldfields.com/environment-tsf.php</t>
  </si>
  <si>
    <t>301-3 Reclaimed products and their packaging materials</t>
  </si>
  <si>
    <t>https://www.goldfields.com/waste-management.php</t>
  </si>
  <si>
    <t>Material
stewardship
– MM11</t>
  </si>
  <si>
    <t>Programmes and progress
relating to materials
stewardship</t>
  </si>
  <si>
    <t>https://www.goldfields.com/sustainability-performance.php</t>
  </si>
  <si>
    <t>Energy</t>
  </si>
  <si>
    <t>7,8,9</t>
  </si>
  <si>
    <t>1,2,4,6,7,8,9,10</t>
  </si>
  <si>
    <t>CEO Report pgs 21 -  23
Energy and Carbon Management pgs 70 - 72</t>
  </si>
  <si>
    <t>– Energy and Emissions</t>
  </si>
  <si>
    <t>GRI 302: Energy 2016</t>
  </si>
  <si>
    <t>302-1 Energy consumption within the organization</t>
  </si>
  <si>
    <t>6,9</t>
  </si>
  <si>
    <t>EM-MM–130a.1</t>
  </si>
  <si>
    <t>Energy and Carbon Management pgs 70 - 72</t>
  </si>
  <si>
    <t>302-2 Energy consumption outside of the organization</t>
  </si>
  <si>
    <t>ESG Data – Energy</t>
  </si>
  <si>
    <t>8,9</t>
  </si>
  <si>
    <t>ESG Data – Regional Energy</t>
  </si>
  <si>
    <t>302-3 Energy intensity</t>
  </si>
  <si>
    <t>302-4 Reduction of energy consumption</t>
  </si>
  <si>
    <t>302-5 Reductions in energy requirements of products and services</t>
  </si>
  <si>
    <t>Indicator is not relevant to the product we produce – gold.</t>
  </si>
  <si>
    <t>Water and effluents</t>
  </si>
  <si>
    <t>EM-MM–140a.1
EM-MM–140a.2</t>
  </si>
  <si>
    <t>CEO Report pg 23
Water stewardship pgs 68 - 69
Building on our leading commitment to ESG , 2030  targets  pgs 11, 55
Risk Mitigation pgs 26, 29</t>
  </si>
  <si>
    <t>Water Stewardship pgs 15, 21 - 22, 29, 33, 38, 47, 55 
Case Study pg 56</t>
  </si>
  <si>
    <t>Water Stewardship pgs 6, 10 - 12, 31 - 32
Risks pg 22</t>
  </si>
  <si>
    <t>https://www.goldfields.com/water-stewardship.php</t>
  </si>
  <si>
    <t>GRI 303: Water and Effluents 2018</t>
  </si>
  <si>
    <t>303-1 Interactions with water as a shared resource</t>
  </si>
  <si>
    <t>Water stewardship pgs 68 - 69</t>
  </si>
  <si>
    <t>303-2 Management of water discharge-related impacts</t>
  </si>
  <si>
    <t>Grievance mechanisms pg 31</t>
  </si>
  <si>
    <t>303-3 Water withdrawal</t>
  </si>
  <si>
    <t>EM-MM–140a.1</t>
  </si>
  <si>
    <t>ESG Data – Water</t>
  </si>
  <si>
    <t>303-4 Water discharge</t>
  </si>
  <si>
    <t>303-5 Water consumption</t>
  </si>
  <si>
    <t>Biodiversity</t>
  </si>
  <si>
    <t>EM-MM–160a.1</t>
  </si>
  <si>
    <t>Conserving nature pg 73</t>
  </si>
  <si>
    <t>pgs 34 - 35</t>
  </si>
  <si>
    <t>https://www.goldfields.com/environment.php</t>
  </si>
  <si>
    <t>GRI 304: Biodiversity 2016</t>
  </si>
  <si>
    <t>304-1 Operational sites owned, leased, managed in, or adjacent to, protected areas and areas of high biodiversity value outside protected areas</t>
  </si>
  <si>
    <t>ESG Data – Land Management and Biodiversity</t>
  </si>
  <si>
    <t>2,6,7</t>
  </si>
  <si>
    <t>EM-MM–160a.3</t>
  </si>
  <si>
    <t>304-2 Significant impacts of activities, products and services on biodiversity</t>
  </si>
  <si>
    <t>6,7</t>
  </si>
  <si>
    <t>– Nature and Biodiversity</t>
  </si>
  <si>
    <t>304-3 Habitats protected or restored</t>
  </si>
  <si>
    <t>304-4 IUCN Red List species and national conservation list species with habitats in areas affected by operations</t>
  </si>
  <si>
    <t>MM1</t>
  </si>
  <si>
    <t>Amount of land (owned or leased, and managed for production activities or extractive use) disturbed or rehabilitated</t>
  </si>
  <si>
    <t>MM12</t>
  </si>
  <si>
    <t>The number and percentage of total sites identified as requiring biodiversity management plans according to stated criteria, and the number (percentage) of those sites with plans in place</t>
  </si>
  <si>
    <t>Emissions</t>
  </si>
  <si>
    <t>7, 8, 9</t>
  </si>
  <si>
    <t>EM-MM– 110a.2</t>
  </si>
  <si>
    <t>Energy and Carbon Management pgs 70 -72
Building on our leading commitment to , 2030  targets  pgs 11, 55</t>
  </si>
  <si>
    <t>GRI 305: Emissions 2016</t>
  </si>
  <si>
    <t>305-1 Direct (Scope 1) GHG emissions</t>
  </si>
  <si>
    <t>EM-MM–110a.1
EM-MM–110a.2</t>
  </si>
  <si>
    <t>305-2 Energy indirect (Scope 2) GHG emissions</t>
  </si>
  <si>
    <t>305-3 Other indirect (Scope 3) GHG emissions</t>
  </si>
  <si>
    <t>305-4 GHG emissions intensity</t>
  </si>
  <si>
    <t>305-5 Reduction of GHG emissions</t>
  </si>
  <si>
    <t>– Emissions</t>
  </si>
  <si>
    <t>ESG Data – Emissions</t>
  </si>
  <si>
    <t>305-6 Emissions of ozone-depleting substances (ODS)</t>
  </si>
  <si>
    <t>Not material</t>
  </si>
  <si>
    <t>305-7 Nitrogen oxides (NOx), sulfur oxides (SOx), and other significant air emissions</t>
  </si>
  <si>
    <t>EM-MM–120a.1</t>
  </si>
  <si>
    <t>Waste</t>
  </si>
  <si>
    <t>EM-MM– 150a.1</t>
  </si>
  <si>
    <t>Tailings and waste pgs 75 - 76
Building on our leading commitment to ESG , 2030  targets  pg 11, 55</t>
  </si>
  <si>
    <t>ESG Data – Tailings and Waste</t>
  </si>
  <si>
    <t>GRI 306: Waste 2020</t>
  </si>
  <si>
    <t>306-1 Waste generation and significant waste-related impacts</t>
  </si>
  <si>
    <t>Refer to GRI 303-4 in ESG Data – Waste</t>
  </si>
  <si>
    <t>306-2 Management of significant waste-related impacts</t>
  </si>
  <si>
    <t>EM-MM–150a.1
EM-MM–150a.2
EM-MM–150a.3</t>
  </si>
  <si>
    <t>Tailings and waste pgs 75 - 76</t>
  </si>
  <si>
    <t>– Environment</t>
  </si>
  <si>
    <t>https://www.goldfields.com/tailings-inventory-and-disclosure.php</t>
  </si>
  <si>
    <t>306-3 Waste generated</t>
  </si>
  <si>
    <t>6,8</t>
  </si>
  <si>
    <t>Environmental stewardship pgs 67 - 76</t>
  </si>
  <si>
    <t>306-4 Waste diverted from disposal</t>
  </si>
  <si>
    <t>306-5 Waste directed to disposal</t>
  </si>
  <si>
    <t>MM3</t>
  </si>
  <si>
    <t>Total amounts of overburden rock, tailings and sludges and their associated risk</t>
  </si>
  <si>
    <t>EM-MM-150a.1</t>
  </si>
  <si>
    <t>Supplier environmental assessment</t>
  </si>
  <si>
    <t>Human rights pgs 15, 31, 34 - 35, 41 - 43, 59, 71</t>
  </si>
  <si>
    <t>Human Rights pgs 2, 13 - 19, 29, 38, 46, 53 - 54</t>
  </si>
  <si>
    <t>https://www.goldfields.com/supplier-resources.php</t>
  </si>
  <si>
    <t>Supplier Code of Conduct</t>
  </si>
  <si>
    <t>Supply chain risk management | SUPPLIERS | Gold Fields</t>
  </si>
  <si>
    <t>GRI 308: Supplier Environmental Assessment 2016</t>
  </si>
  <si>
    <t>308-1 New suppliers that were screened using environmental criteria</t>
  </si>
  <si>
    <t>308-2 Negative environmental impacts in the supply chain and actions taken</t>
  </si>
  <si>
    <t>1,2,4,6</t>
  </si>
  <si>
    <t>Employment</t>
  </si>
  <si>
    <t>Labour management and relations pgs 35, 45, 63
Building on our leading commitment to ESG, 2030  targets  pg 11, 55
Value creation for our stakeholders pgs 55 - 73;  
Our workforce profile pg 38
Host community employment pgs 38, 58</t>
  </si>
  <si>
    <t>Employees pgs 26, 34, 43, 52, 60
Value Creation pgs 05 - 07, 27, 35, 45, 53
Social and Economic Reporting pgs 8 - 9</t>
  </si>
  <si>
    <t>GRI 401: Employment 2016</t>
  </si>
  <si>
    <t>401-1 New employee hires and employee turnover</t>
  </si>
  <si>
    <t>ESG Data – Hiring and Turnover</t>
  </si>
  <si>
    <t>3,6</t>
  </si>
  <si>
    <t>401-2 Benefits provided to full-time employees that are not provided to temporary or part-time employees</t>
  </si>
  <si>
    <t>https://www.goldfields.com/working-at-goldfields.php</t>
  </si>
  <si>
    <t>401-3 Parental leave</t>
  </si>
  <si>
    <t>Labor/management relations</t>
  </si>
  <si>
    <t>Culture for improved delivery pgs 10 - 13
Human Rights pgs 14 - 15
Investor focus pg 20
Employees pgs 26, 34, 43, 52, 60</t>
  </si>
  <si>
    <t>– Labour management and relations</t>
  </si>
  <si>
    <t>GRI 402: Labor/Management Relations 2016</t>
  </si>
  <si>
    <t>402-1 Minimum notice periods regarding operational changes</t>
  </si>
  <si>
    <t>MM4</t>
  </si>
  <si>
    <t>Number of strikes and lockouts exceeding one week duration</t>
  </si>
  <si>
    <t>EM-MM–310a.2</t>
  </si>
  <si>
    <t>Occupational health and safety</t>
  </si>
  <si>
    <t>1,5</t>
  </si>
  <si>
    <t>Building on our leading commitment to , 2030  targets  pg 11, 55
CEO report pgs 21 -23
Build a safe and respectful workplace pgs 38 - 45
Health and Wellness pg 41</t>
  </si>
  <si>
    <t>Respectful workplace pgs 12 - 13, 26, 34, 43, 52, 60
Human Rights pgs 14 - 15
Investor focus pg 20</t>
  </si>
  <si>
    <t>GRI 403: Occupational Health and Safety 2018</t>
  </si>
  <si>
    <t>403-1 Occupational health and safety management system</t>
  </si>
  <si>
    <t>4,5</t>
  </si>
  <si>
    <t>403-2 Hazard identification, risk assessment, and incident investigation</t>
  </si>
  <si>
    <t>Building a safe and respectful workplace pgs 38 - 45
Health and Wellness pg 41</t>
  </si>
  <si>
    <t>403-3 Occupational health services</t>
  </si>
  <si>
    <t>403-4 Worker participation, consultation, and communication on occupational health and safety</t>
  </si>
  <si>
    <t>403-5 Worker training on occupational health and safety</t>
  </si>
  <si>
    <t>EM-MM–320a.1</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</si>
  <si>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</si>
  <si>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</si>
  <si>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</si>
  <si>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</si>
  <si>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Build a safe and respectful workplace pgs 38 - 45
Health and Wellness pg 41</t>
  </si>
  <si>
    <t>Respectful workplace pgs 12 - 13, 26, 34, 43, 52, 60</t>
  </si>
  <si>
    <t>ESG Data – Safety</t>
  </si>
  <si>
    <t>403-10 Work-related ill health</t>
  </si>
  <si>
    <t>Emergency Preparedness MM</t>
  </si>
  <si>
    <t>Catastrophic Risks pgs 30 - 31</t>
  </si>
  <si>
    <t>Human Rights pgs 14, 16, 17
Important topics for stakeholders pgs 38, 46, 55, 64</t>
  </si>
  <si>
    <t>Training and education</t>
  </si>
  <si>
    <t>Value creation for our stakeholders pgs 55 - 73;  
Our workforce profile pg 38
Host community employment pg 58
Employees pgs 10 - 13, 26, 34, 43, 52, 60
Value Creation pgs 05 - 07, 27, 35, 45, 53
Social and Economic Reporting pgs 8 - 9</t>
  </si>
  <si>
    <t>Human Capital</t>
  </si>
  <si>
    <t>GRI 404: Training and Education 2016</t>
  </si>
  <si>
    <t>404-1 Average hours of training per year per employee</t>
  </si>
  <si>
    <t>ESG Data – Training</t>
  </si>
  <si>
    <t>3,5</t>
  </si>
  <si>
    <t>404-2 Programs for upgrading employee skills and transition assistance programs</t>
  </si>
  <si>
    <t>Our workforce profile pg 38
Mining Charter Scorecard pgs 63 - 66</t>
  </si>
  <si>
    <t>404-3 Percentage of employees receiving regular performance and career development reviews</t>
  </si>
  <si>
    <t>https://www.goldfields.com/training-and-development.php</t>
  </si>
  <si>
    <t>Diversity and equal opportunity</t>
  </si>
  <si>
    <t>Chairpersons report pg 14
CEO Report, pgs 23
Our workforce profile pg 38
Creating a diverse and inclusive workforce pg 44</t>
  </si>
  <si>
    <t>GRI 405: Diversity and Equal Opportunity 2016</t>
  </si>
  <si>
    <t>405-1 Diversity of governance bodies and employees</t>
  </si>
  <si>
    <t>CEO Report pgs 21 - 23
Our workforce profile pg 38
Mining charter pgs 63 - 66
Human rights pgs 15, 31, 34 - 35, 41 - 43, 59, 71</t>
  </si>
  <si>
    <t>Diversity pgs 4, 6, - 9, 10 - 15, 18 -19, 20 - 21, 26, 34, 43, 52, 60</t>
  </si>
  <si>
    <t>405-2 Ratio of basic salary and remuneration of women to men</t>
  </si>
  <si>
    <t>Social Economic Reporting pgs 08 - 09, 15</t>
  </si>
  <si>
    <t>Non-discrimination</t>
  </si>
  <si>
    <t>1,2,6</t>
  </si>
  <si>
    <t>Our workforce profile pg 38
Creating a diverse and inclusive workforce pg 44
Human rights pgs 15, 31, 34 - 35, 41 - 43, 59, 71</t>
  </si>
  <si>
    <t>Human Rights  pgs 2, 11, 13 - 19, 29, 38, 46, 53 - 54
Respectful workplace pgs 10 - 13, 14 - 15, 20</t>
  </si>
  <si>
    <t>GRI 406: Non-discrimination 2016</t>
  </si>
  <si>
    <t>406-1 Incidents of discrimination and corrective actions taken</t>
  </si>
  <si>
    <t>https://www.goldfields.com/pdf/about-us/corporate-governance/policies/2023/respectful-workplace-policy-statement.pdf</t>
  </si>
  <si>
    <t>https://www.goldfields.com/ethics-conduct-and-integrity.php</t>
  </si>
  <si>
    <t>Freedom of association and collective bargaining</t>
  </si>
  <si>
    <t>Pg 45</t>
  </si>
  <si>
    <t>GRI 407: Freedom of Association and Collective Bargaining 2016</t>
  </si>
  <si>
    <t>407-1 Operations and suppliers in which the right to freedom of association and collective bargaining may be at risk</t>
  </si>
  <si>
    <t>1,2,3</t>
  </si>
  <si>
    <t>During 2023, there were no incidents where the rights to freedom of association and collective bargaining were at risk at any of our operations. None of our operations represents significant risks in this respect. In Gold Fields recognises and supports Our employees’ rights and freedom of association through the various wage negotiation and work practices engagement processes. Our major suppliers are checked on appointment for adherence to labour legislation.</t>
  </si>
  <si>
    <t>Child labor</t>
  </si>
  <si>
    <t>GRI 408: Child Labor 2016</t>
  </si>
  <si>
    <t>408-1 Operations and suppliers at significant risk for incidents of child labor</t>
  </si>
  <si>
    <t>https://www.goldfields.com/pdf/suppliers/introduction/values-and-code-summary-for-suppliers-and-contractors.pdf</t>
  </si>
  <si>
    <t>https://www.goldfields.com/pdf/suppliers/australia/gfa-modern-slavery-statement-2021.pdf</t>
  </si>
  <si>
    <t>During 2023, there were no incidents of child labour at any of our operations. None of our operations represents significant risks in this respect. Our HR system has built-in controls so that under-age children cannot be engaged on the payroll learnerships of children 16 years or older are permitted with the required consent in regions like Australia which has advanced programmes. Our major suppliers are checked, on appointment, for adherence to labour legislation, including the use of child labour.</t>
  </si>
  <si>
    <t>Forced or compulsory labor</t>
  </si>
  <si>
    <t>Human Rights  pgs 2, 11, 13 - 19, 29, 38, 46, 53 - 54</t>
  </si>
  <si>
    <t>GRI 409: Forced or Compulsory Labor 2016</t>
  </si>
  <si>
    <t>409-1 Operations and suppliers at significant risk for incidents of forced or compulsory labor</t>
  </si>
  <si>
    <t>During 2023, there were no incidents of forced labour at any of our operations. None of our operations represents significant risks in this respect. Our major suppliers are checked, on appointment, for adherence to labour legislation, including the use of forced labour.</t>
  </si>
  <si>
    <t>Security practices</t>
  </si>
  <si>
    <t>Human Rights pgs 2, 11, 13 - 19, 29, 38, 46, 53 - 54</t>
  </si>
  <si>
    <t>– Security</t>
  </si>
  <si>
    <t>GRI 410: Security Practices 2016</t>
  </si>
  <si>
    <t>410-1 Security personnel trained in human rights policies or procedures</t>
  </si>
  <si>
    <t>Human Rights 14 - 18, 29, 46, 54</t>
  </si>
  <si>
    <t>Rights of indigenous peoples</t>
  </si>
  <si>
    <t>EM-MM– 210a.2.
EM-MM– 210a.3</t>
  </si>
  <si>
    <t>Material Matters pg 35
Risks and Opportunities pgs 25 - 31
Working with Aboriginal communities in Australia pg 60
Maintaining good governance pgs 13 - 19
Our communities pgs 8 - 11, 13, 23, 28, 35, 38, 55 - 60
CEO report pg 21 - 23
Salares Norte pg 81
Value creation for our stakeholders pgs 55 - 73;  
Human rights pgs 15, 31, 34 - 35, 41 - 43, 59, 71</t>
  </si>
  <si>
    <t>Human Rights pgs 2, 11, 13 - 19, 29, 38, 46, 53 - 54
Indigenous People pg 18
Cultural heritage protection pg 28
Our commitment to reconciliation pg 28
Case Study pg 30
Investing in indigenous communities pg 62
Case Study pg 65</t>
  </si>
  <si>
    <t>Indigenous People</t>
  </si>
  <si>
    <t>GRI 411: Rights of Indigenous Peoples 2016</t>
  </si>
  <si>
    <t>411-1 Incidents of violations involving rights of indigenous peoples</t>
  </si>
  <si>
    <t>ESG Data – Community Grievances</t>
  </si>
  <si>
    <t>Local communities</t>
  </si>
  <si>
    <t>Material Matters pg 35
Risks and Opportunities pgs 25 - 31
Maintaining good governance pgs 13 - 19
Our communities pgs 8 - 11, 13, 23, 28, 35, 38, 55 - 60
CEO report pg 21 - 23
Salares Norte pg 81
Value creation for our stakeholders pgs 55 - 73;  
Human rights pgs 15, 31, 34 - 35, 41 - 43, 59, 71</t>
  </si>
  <si>
    <t>Host Communities  pgs 13 - 19, 27 - 30,  35 - 39, 45 - 48, 53 - 56, 61 - 65
Social and Economic Reporting pgs 08 - 09 
Value Creation  pgs 05 - 07, 27, 35, 45</t>
  </si>
  <si>
    <t>– Indigenous People</t>
  </si>
  <si>
    <t>Indirect economic impacts  https://www.goldfields.com/management-approaches.php</t>
  </si>
  <si>
    <t>Local communities and engagement</t>
  </si>
  <si>
    <t>GRI 413: Local Communities 2016</t>
  </si>
  <si>
    <t>413-1 Operations with local community engagement, impact assessments, and development programs</t>
  </si>
  <si>
    <t>2,3,4,9,10</t>
  </si>
  <si>
    <t>EM-MM–210b.1
EM-MM–210b.2</t>
  </si>
  <si>
    <t>Maintaining good governance gs 13 - 19
Environmental stewardship pgs 15, 67 - 76
Value creation for stakeholders pgs 55 - 71
Human rights pgs 15, 31, 34 - 35, 41 - 43, 59, 71</t>
  </si>
  <si>
    <t>Host Communities  pgs 13 - 19, 27 - 30,  35 - 39, 45 - 48, 53 - 56, 61 - 65
Social and Economic Reporting pgs 08 - 09 
Value Creation  pgs 05 - 07, 27, 35, 45, 53</t>
  </si>
  <si>
    <t>Sustainable Development, Direct and Indirect Economic impact, Indigenous peoples</t>
  </si>
  <si>
    <t>ESG Data – National value distribution,</t>
  </si>
  <si>
    <t>ESG Data – Host community employment,</t>
  </si>
  <si>
    <t>ESG Data – Host community procurement</t>
  </si>
  <si>
    <t>ESG Data – Host community value creation</t>
  </si>
  <si>
    <t>ESG Data – Socio economic development</t>
  </si>
  <si>
    <t>ESG Data – Community grievances</t>
  </si>
  <si>
    <t>ESG Data – Education and Skills Capacity</t>
  </si>
  <si>
    <t>ESG Data – Stakeholder Engagement</t>
  </si>
  <si>
    <t>413-2 Operations with significant actual and potential negative impacts on local communities</t>
  </si>
  <si>
    <t>1, 2,3,4,9,10</t>
  </si>
  <si>
    <t>Environmental stewardship pgs 67 - 76
Measuring our impacts and relationships pg 59
Potential environmental impacts pg 62
Grievance mechanisms pg 31
Human rights pgs 15, 31, 34 - 35, 41 - 43, 59, 71</t>
  </si>
  <si>
    <t>Leveraging culture for improved delivery pg 10 - 13
Human Rights pgs 14 - 18
Top 10 Risks pgs 25, 33, 42, 51, 59
Important topics for stakeholders pgs 26, 28, 29, 34, 35, 37 - 38, 43, 46 - 47, 52 - 55, 60, 64</t>
  </si>
  <si>
    <t>MM6</t>
  </si>
  <si>
    <t>Number and description of significant disputes relating to land use, customary rights of local communities and indigenous peoples</t>
  </si>
  <si>
    <t>Host communities pg 58
Grievance mechanisms pg 31
Human rights pgs 15, 31, 34 - 35, 41 - 43, 59, 71 
Environmental Stewardship pgs 67 - 76</t>
  </si>
  <si>
    <t>Leveraging culture for improved delivery pg 10 - 13
Human Rights pgs 14 - 18
Top 10 Risks pgs 25, 33, 42, 51,59
Important topics for stakeholders pgs 26, 28, 29, 34, 35, 37 - 38, 43, 46 - 47, 52 - 55, 60, 64</t>
  </si>
  <si>
    <t>MM7</t>
  </si>
  <si>
    <t>The extent to which grievance mechanisms were used to resolve disputes relating to land use, customary rights of local communities and indigenous peoples, and the outcomes</t>
  </si>
  <si>
    <t>Host communities pg 58
Environmental Stewardship pgs 67 - 76
Human rights pgs 15, 31, 34 - 35, 41 - 43, 59, 71
Grievance mechanisms pg 31</t>
  </si>
  <si>
    <t>Local communities and engagement, Direct and Indirect Economic impact, Indigenous peoples, Security, Human rights</t>
  </si>
  <si>
    <t>Artisanal and
small scale mining
MM8</t>
  </si>
  <si>
    <t>Number (and percentage) of Company operating sites on which artisanal and small-scale mining (ASM) takes place, or adjacent to the site; the associated risks and the actions taken to manage and mitigate these risks</t>
  </si>
  <si>
    <t>1,3,5,9,10</t>
  </si>
  <si>
    <t>Artisanal, small-scale and illegal mining in Ghana pg 59
Human rights pgs 15, 31, 34 - 35, 41 - 43, 59, 71</t>
  </si>
  <si>
    <t>ASM pg 46</t>
  </si>
  <si>
    <t>Refer to Gold Fields Community Relations and Stakeholder Engagement Handbook and our Community Relations and Stakeholder Engagement Guidelines, which detail our approach to ASM.</t>
  </si>
  <si>
    <t>https://www.goldfields.com/guidelines.php</t>
  </si>
  <si>
    <t>Resettlement
MM9</t>
  </si>
  <si>
    <t>Resettlement pg 16</t>
  </si>
  <si>
    <t>Supplier social assessment</t>
  </si>
  <si>
    <t>Value creation for our stakeholders pgs 55 - 73;  
Host communities pg 58
Human rights pgs 15, 31, 34 - 35, 41 - 43, 59, 71</t>
  </si>
  <si>
    <t>Human Rights  pgs 14, 16, 29
Value Creation  pgs 05 - 07, 27, 35, 45, 53</t>
  </si>
  <si>
    <t>– Direct and Indirect Economic Impacts, Human Rights, Local Communities and engagement</t>
  </si>
  <si>
    <t>GRI 414: Supplier Social Assessment 2016</t>
  </si>
  <si>
    <t>414-1 New suppliers that were screened using social criteria</t>
  </si>
  <si>
    <t>414-2 Negative social impacts in the supply chain and actions taken</t>
  </si>
  <si>
    <t>This GRI Content Index</t>
  </si>
  <si>
    <t>Value creation for our stakeholders pgs 55 - 73;  
Government pgs 61 - 66
Human rights pgs 15, 31, 34 - 35, 41 - 43, 59, 71</t>
  </si>
  <si>
    <t>Human Rights  pgs 2, 11, 13 - 19, 29, 38, 46, 53 - 54
Value Creation  pgs 05, 7, 27, 35, 45</t>
  </si>
  <si>
    <t>https://www.goldfields.com/pdf/suppliers/introduction/2023/supplier-code-of-business-conduct.pdf</t>
  </si>
  <si>
    <t>A metric has yet to be defined to assess impact on society in the supply chain. Following the monthly screening outcome of third parties, the in-country procurement teams apply their risk management process, which is informed by the outcome of the internal screening risk calculator, when engaging with suppliers during maintenance, planned engagement and contractual reviews. The SQ remains as-is.</t>
  </si>
  <si>
    <t>Public policy</t>
  </si>
  <si>
    <t>Government relations pgs 61 - 66</t>
  </si>
  <si>
    <t>– Government and Public policy-related interaction</t>
  </si>
  <si>
    <t>GRI 415: Public Policy 2016</t>
  </si>
  <si>
    <t>415-1 Political contributions</t>
  </si>
  <si>
    <t>1,4</t>
  </si>
  <si>
    <t>ESG Data – Policy Influence</t>
  </si>
  <si>
    <t>Customer health and safety</t>
  </si>
  <si>
    <t>GRI 416: Customer Health and Safety 2016</t>
  </si>
  <si>
    <t>Marketing and labeling</t>
  </si>
  <si>
    <t>GRI 417: Marketing and Labeling 2016</t>
  </si>
  <si>
    <t>Not relevant to Gold Fields as gold is sold in an unwrought form.</t>
  </si>
  <si>
    <t>Customer privacy</t>
  </si>
  <si>
    <t>GRI 418: Customer Privacy 2016</t>
  </si>
  <si>
    <t>Not relevant as Gold Fields sells its product directly to refineries in an unwrought form</t>
  </si>
  <si>
    <t>Topics in the applicable GRI Sector Standards determined as not material</t>
  </si>
  <si>
    <t>TOPIC</t>
  </si>
  <si>
    <t>[Title of GRI Sector Standard]</t>
  </si>
  <si>
    <t>[Topic]</t>
  </si>
  <si>
    <t>ICMM Social and Economic Reporting Framework Index</t>
  </si>
  <si>
    <t>ICMM Indicator</t>
  </si>
  <si>
    <t>Indicator requirement</t>
  </si>
  <si>
    <t>Reference</t>
  </si>
  <si>
    <t>Reporting status</t>
  </si>
  <si>
    <t>Explanation</t>
  </si>
  <si>
    <t>Indicator 1</t>
  </si>
  <si>
    <t>Taxes - Country by country reporting</t>
  </si>
  <si>
    <t xml:space="preserve">If reporting under OECD Action 13 BEPS Country-by-Country Report, companies to provide information for the fiscal year on:
a. The allocation of income, taxes, and business activities by tax jurisdiction, including:
i. Tax jurisdiction
ii. Revenues, including unrelated party, related parties
and total revenues
iii. Profit (loss) before income tax
iv. Income tax paid (on cash basis)
v. Income tax accrued – current year
vii. Stated capital
viii. Accumulated earnings
ix. Number of employees
x. Tangible assets other than cash and cash equivalents
b. List of all the constituent entities of the Multi-National Enterprise group included in each aggregation per tax jurisdiction, including:
i. Constituent entities resident in the tax jurisdiction
ii. Tax jurisdiction of organisation or incorporation if different from tax jurisdiction of residence
iii. Main business activity(ies)
</t>
  </si>
  <si>
    <t>a. and b. omitted</t>
  </si>
  <si>
    <t xml:space="preserve">Disclosure commences in 2024 </t>
  </si>
  <si>
    <t>Indicator 2</t>
  </si>
  <si>
    <t>Workforce composition</t>
  </si>
  <si>
    <t>Companies to provide information on their employees and other workers including:
a. Total direct workforce split by region
b. Proportion of permanent vs contractor workforce
For their direct workforce, companies should also report on the percentage (%) of employees per employee category, by age group, gender and other indicators of diversity (egg ethnicity) to the extent practicable based on their local operating context
and what is legally permissible . Wherever possible, this disaggregation should also be considered for reporting on contractor workforce</t>
  </si>
  <si>
    <t xml:space="preserve">a. 2023 ESG Data - Workforce </t>
  </si>
  <si>
    <t>a. and b. reported</t>
  </si>
  <si>
    <t>Information on our contractor workforce composition is provided. Greater granularity will be possible when we mature our contractor data collection</t>
  </si>
  <si>
    <t>Indicator 3</t>
  </si>
  <si>
    <t>Pay equality</t>
  </si>
  <si>
    <t>Companies to report on the ratio of the basic salary and remuneration for each employee category by significant locations of operation for priority areas of equality: women to men, minor to major ethnic groups, and other relevant equality areas (as appropriate based on their local operating context and what is legally permissible). This should be provided for direct employees only.</t>
  </si>
  <si>
    <t>a. 2023 ESG Data - Remuneration</t>
  </si>
  <si>
    <t>Reported
Aboriginal or Torres Straight Islander employee ratios omitted</t>
  </si>
  <si>
    <t>Data collection systems being matured to enable future reporting</t>
  </si>
  <si>
    <t>Indicator 4</t>
  </si>
  <si>
    <t>Wage level</t>
  </si>
  <si>
    <t xml:space="preserve">Companies to provide an overview of the following ratios:
a. Ratios of standard entry level wage by gender compared to local living wage. Where a value for a representative living wage is not available, then the ratio to local minimum wage should be reported.
b. Ratio of the annual total compensation of the CEO to the median of the annual total
compensation of all the organisation's employees, except the CEO. 
This should be provided for direct employees only. This indicator should also be disaggregated per gender and, if appropriate, ethnicity to the extent practicable based on the local operating context and what is legally permissible. </t>
  </si>
  <si>
    <t>a. 2023 Sustainability Performance Data - Renumeration worksheet</t>
  </si>
  <si>
    <t xml:space="preserve">a. and b. reported
</t>
  </si>
  <si>
    <t>Indicator 5</t>
  </si>
  <si>
    <t>Training provided</t>
  </si>
  <si>
    <t xml:space="preserve">Companies to provide an overview of the training provided to their direct employees including:
a. Average hours of training per person that the organisation’s employees have undertaken during the reporting period, by gender and employee category (total number of hours of training provided to employees divided by the number of employees).
b. Average training expenditure per full time employee (total cost of training provided to employees divided by the number of employees).
c. Percentage of employees that received training (split per employee category and where relevant equality categories).
This indicator should also be disaggregated per gender and, if appropriate, ethnicity to the extent practicable based on the local operating context and what is legally permissible. </t>
  </si>
  <si>
    <t>a. 2023 Sustainability Performance Data - Training worksheet</t>
  </si>
  <si>
    <t>a. and b. reported
c. omitted</t>
  </si>
  <si>
    <t>Indicator 6</t>
  </si>
  <si>
    <t>Local Procurement</t>
  </si>
  <si>
    <t>Companies to report on the percentage of the procurement budget used for significant locations of operation that is spent on suppliers local to that operation (Such as percentage of products and services purchased locally). This information should also be disaggregated per gender e.g. to reflect women owned businesses in the local supply chain and, if appropriate, ethnicity to the extent practicable based on the local operating context and what is legally permissible.</t>
  </si>
  <si>
    <t>a. 2023 Sustainability Performance Data - Host community procurement worksheet</t>
  </si>
  <si>
    <t>Reported</t>
  </si>
  <si>
    <t>Indicator 7</t>
  </si>
  <si>
    <t>Education and Skills Support</t>
  </si>
  <si>
    <t>Companies to provide details on the range of education and skills programmes that they deploy outside of their workforce, including:
a. Number of education and skills programmes supported (including early childhood development (ECD), bursaries and scholarships provided across all education levels, provision of primary, secondary and tertiary education support (including after school programmes or online support) and adult learning programmes). 
b. Total investment on education and skills programme(s) (outside of workforce) split by programme area.
c. Total number of beneficiaries of education and skills programmes (disaggregated per gender and ethnicity to the extent practicable based on the local operating context and what is legally permissible).</t>
  </si>
  <si>
    <t>a. 2023 Sustainability Performance Data - Education Skills and Capacity worksheet</t>
  </si>
  <si>
    <t>a., b. and c reported</t>
  </si>
  <si>
    <t>Indicator 8</t>
  </si>
  <si>
    <t>Capacity and Institution Support</t>
  </si>
  <si>
    <t>Companies to provide details on the range of capacity and institution programmes that they support, including:
a. Number of capacity and institution programmes supported with a proposed initial classification to cover training programmes specifically focused on local government or community leadership development, funding for civic organisations and, where relevant, other programmes such as staff secondments or leadership development programmes external to the workforce. (Programmes reported under this core indicator should be distinct to the programmes reported in relation to education and skills to avoid duplication of reporting.)
b. Total investment on capacity and institution programmes split by programme area.
c. Total number of beneficiaries of capacity and institution programmes (disaggregated per gender and ethnicity to the extent practicable based on their local operating context and what is legally permissible).</t>
  </si>
  <si>
    <t>National Value Distribution by region and type 2023 (US$m)</t>
  </si>
  <si>
    <t>Employees</t>
  </si>
  <si>
    <r>
      <rPr>
        <b/>
        <sz val="9"/>
        <color rgb="FFF7F5F1"/>
        <rFont val="Arial"/>
        <family val="2"/>
      </rPr>
      <t>SED spend</t>
    </r>
    <r>
      <rPr>
        <b/>
        <sz val="9"/>
        <color rgb="FFF7F5F1"/>
        <rFont val="Calibri"/>
        <family val="2"/>
      </rPr>
      <t>¹</t>
    </r>
  </si>
  <si>
    <t>Capital providers</t>
  </si>
  <si>
    <r>
      <rPr>
        <b/>
        <sz val="9"/>
        <color rgb="FFF7F5F1"/>
        <rFont val="Arial"/>
        <family val="2"/>
      </rPr>
      <t>Business partners</t>
    </r>
    <r>
      <rPr>
        <b/>
        <vertAlign val="superscript"/>
        <sz val="9"/>
        <color rgb="FFF7F5F1"/>
        <rFont val="Arial"/>
        <family val="2"/>
      </rPr>
      <t>3</t>
    </r>
  </si>
  <si>
    <t>Governments</t>
  </si>
  <si>
    <t>National value distribution</t>
  </si>
  <si>
    <t>Australia</t>
  </si>
  <si>
    <t>South Africa</t>
  </si>
  <si>
    <t>Corporate</t>
  </si>
  <si>
    <t>—</t>
  </si>
  <si>
    <t>Ghana</t>
  </si>
  <si>
    <t>Peru</t>
  </si>
  <si>
    <t>Total Gold Fields</t>
  </si>
  <si>
    <t>¹"SED" means Socio-Economic Development investments in host communities. It excludes host community wages and procurement spend which are captured under payments to 'Employees' and 'Business partners'</t>
  </si>
  <si>
    <r>
      <rPr>
        <sz val="8"/>
        <color rgb="FF000000"/>
        <rFont val="Calibri"/>
        <family val="2"/>
      </rPr>
      <t>²</t>
    </r>
    <r>
      <rPr>
        <sz val="8"/>
        <color rgb="FF000000"/>
        <rFont val="Arial"/>
        <family val="2"/>
      </rPr>
      <t>Includes US$367k from the South Deep trusts</t>
    </r>
  </si>
  <si>
    <r>
      <rPr>
        <vertAlign val="superscript"/>
        <sz val="8"/>
        <color rgb="FF000000"/>
        <rFont val="Arial"/>
        <family val="2"/>
      </rPr>
      <t>3</t>
    </r>
    <r>
      <rPr>
        <sz val="8"/>
        <color rgb="FF000000"/>
        <rFont val="Arial"/>
        <family val="2"/>
      </rPr>
      <t>Includes contractors and suppliers and excludes projects</t>
    </r>
  </si>
  <si>
    <r>
      <rPr>
        <vertAlign val="superscript"/>
        <sz val="8"/>
        <color rgb="FF000000"/>
        <rFont val="Calibri"/>
        <family val="2"/>
      </rPr>
      <t>4</t>
    </r>
    <r>
      <rPr>
        <sz val="8"/>
        <color rgb="FF000000"/>
        <rFont val="Arial"/>
        <family val="2"/>
      </rPr>
      <t>South Deep has carry-forward losses and allowances for offset against taxable income</t>
    </r>
  </si>
  <si>
    <r>
      <rPr>
        <sz val="8"/>
        <color rgb="FF000000"/>
        <rFont val="Calibri"/>
        <family val="2"/>
      </rPr>
      <t>5</t>
    </r>
    <r>
      <rPr>
        <sz val="8"/>
        <color rgb="FF000000"/>
        <rFont val="Arial"/>
        <family val="2"/>
      </rPr>
      <t xml:space="preserve"> Excludes US$12m in dividends declared in lieu of the Ghanaian government's 10% stake in Tarkwa and Damang mines</t>
    </r>
  </si>
  <si>
    <r>
      <rPr>
        <vertAlign val="superscript"/>
        <sz val="8"/>
        <color rgb="FF000000"/>
        <rFont val="Calibri"/>
        <family val="2"/>
      </rPr>
      <t>6</t>
    </r>
    <r>
      <rPr>
        <sz val="8"/>
        <color rgb="FF000000"/>
        <rFont val="Arial"/>
        <family val="2"/>
      </rPr>
      <t>Excludes benefits paid to employees working on capital projects</t>
    </r>
  </si>
  <si>
    <t>National value distribution by region (US$m)</t>
  </si>
  <si>
    <t>Payments to governments by Gold Fields in 2023 (US$m)</t>
  </si>
  <si>
    <t>South Deep</t>
  </si>
  <si>
    <t>Royalties</t>
  </si>
  <si>
    <t>Income Tax</t>
  </si>
  <si>
    <r>
      <rPr>
        <sz val="9"/>
        <color rgb="FF000000"/>
        <rFont val="Arial"/>
        <family val="2"/>
      </rPr>
      <t>Dividends</t>
    </r>
    <r>
      <rPr>
        <b/>
        <sz val="9"/>
        <color rgb="FF000000"/>
        <rFont val="Arial"/>
        <family val="2"/>
      </rPr>
      <t>¹</t>
    </r>
  </si>
  <si>
    <t>Dividend withholding tax</t>
  </si>
  <si>
    <t>Total</t>
  </si>
  <si>
    <t>% of profit before tax and royalties</t>
  </si>
  <si>
    <t>¹ In lieu of the Ghana government's10% stake in the Tarkwa and Damang mines</t>
  </si>
  <si>
    <r>
      <rPr>
        <b/>
        <sz val="9"/>
        <color rgb="FFF7F5F1"/>
        <rFont val="Arial"/>
        <family val="2"/>
      </rPr>
      <t>Membership fees</t>
    </r>
    <r>
      <rPr>
        <b/>
        <sz val="9"/>
        <color rgb="FFFFFFFF"/>
        <rFont val="Arial"/>
        <family val="2"/>
      </rPr>
      <t xml:space="preserve"> (US$'000)</t>
    </r>
    <r>
      <rPr>
        <b/>
        <sz val="9"/>
        <color rgb="FFF7F5F1"/>
        <rFont val="Arial"/>
        <family val="2"/>
      </rPr>
      <t xml:space="preserve"> in respect of key trade associations were as follows:</t>
    </r>
  </si>
  <si>
    <r>
      <rPr>
        <b/>
        <sz val="9"/>
        <color rgb="FFF7F5F1"/>
        <rFont val="Arial"/>
        <family val="2"/>
      </rPr>
      <t>2020</t>
    </r>
    <r>
      <rPr>
        <b/>
        <sz val="9"/>
        <color rgb="FFF7F5F1"/>
        <rFont val="Calibri"/>
        <family val="2"/>
      </rPr>
      <t>*</t>
    </r>
  </si>
  <si>
    <t>Ghana Chamber of Mines *</t>
  </si>
  <si>
    <t>Minerals Council South Africa *</t>
  </si>
  <si>
    <t>Peruvian National Mining, Petroleum and Energy Society</t>
  </si>
  <si>
    <t>Chamber of Commerce Cajamarca</t>
  </si>
  <si>
    <t xml:space="preserve">Chamber of Commerce Lima </t>
  </si>
  <si>
    <t>Peruvian Chamber of Commerce *</t>
  </si>
  <si>
    <t>Canada Peru Chamber of Commerce</t>
  </si>
  <si>
    <t>Chamber of Minerals and Energy of Western Australia</t>
  </si>
  <si>
    <t>Australia Gold Industry Group</t>
  </si>
  <si>
    <t>International Council on Mining &amp; Metals</t>
  </si>
  <si>
    <t>World Gold Council</t>
  </si>
  <si>
    <t>n/a</t>
  </si>
  <si>
    <t xml:space="preserve">Total </t>
  </si>
  <si>
    <r>
      <rPr>
        <sz val="8"/>
        <color rgb="FF000000"/>
        <rFont val="Calibri"/>
        <family val="2"/>
      </rPr>
      <t>*</t>
    </r>
    <r>
      <rPr>
        <sz val="8"/>
        <color rgb="FF000000"/>
        <rFont val="Arial"/>
        <family val="2"/>
      </rPr>
      <t>Including Covid 19 Support to Governments, refer to page 87 of Integrated Annual Report 2020</t>
    </r>
  </si>
  <si>
    <t>¹2021 Minerals Council South Africa number was restated to USD as it was erroneously reported in Rand value.</t>
  </si>
  <si>
    <t>Number of suppliers</t>
  </si>
  <si>
    <t>Share of Total Procurement Spend (%)</t>
  </si>
  <si>
    <t>Total Tier 1 Suppliers</t>
  </si>
  <si>
    <t>Critical Tier 1 Suppliers</t>
  </si>
  <si>
    <t>2023 Supplier Assessment Results</t>
  </si>
  <si>
    <t>Total Number of Active Suppliers Tier 1 
(in 2023)</t>
  </si>
  <si>
    <t xml:space="preserve">Number of Critical Tier 1 Suppliers </t>
  </si>
  <si>
    <t>% Critical Tier 1 suppliers of Total Active suppliers (2023)</t>
  </si>
  <si>
    <t>Share of total procurement spend %</t>
  </si>
  <si>
    <t xml:space="preserve">Australia </t>
  </si>
  <si>
    <t xml:space="preserve">West Africa </t>
  </si>
  <si>
    <t>Americas</t>
  </si>
  <si>
    <t>Host Community procurement expenditure %</t>
  </si>
  <si>
    <r>
      <rPr>
        <b/>
        <sz val="9"/>
        <color rgb="FF4C4C4E"/>
        <rFont val="Arial"/>
        <family val="2"/>
      </rPr>
      <t>Australia</t>
    </r>
    <r>
      <rPr>
        <b/>
        <sz val="9"/>
        <color rgb="FF4C4C4E"/>
        <rFont val="Calibri"/>
        <family val="2"/>
      </rPr>
      <t>¹</t>
    </r>
  </si>
  <si>
    <t>Actual</t>
  </si>
  <si>
    <t>Target</t>
  </si>
  <si>
    <t>West Africa</t>
  </si>
  <si>
    <r>
      <rPr>
        <sz val="8"/>
        <color rgb="FF000000"/>
        <rFont val="Calibri"/>
        <family val="2"/>
      </rPr>
      <t>¹</t>
    </r>
    <r>
      <rPr>
        <sz val="8"/>
        <color rgb="FF000000"/>
        <rFont val="Arial"/>
        <family val="2"/>
      </rPr>
      <t xml:space="preserve"> Excludes Perth Office</t>
    </r>
  </si>
  <si>
    <t>Cost Optimisation</t>
  </si>
  <si>
    <t xml:space="preserve">Given the high proportion of costs relating to our supply, we have since 2017, been focusing on AISC cost optimisation through contracts, procurement and materials management savings. </t>
  </si>
  <si>
    <t>The following reductions were achieved during 2023:</t>
  </si>
  <si>
    <t>% regional operational and capital expenditure against AISC</t>
  </si>
  <si>
    <t>Region</t>
  </si>
  <si>
    <t>USDm</t>
  </si>
  <si>
    <t>USD m</t>
  </si>
  <si>
    <t>2-5%</t>
  </si>
  <si>
    <t>2-4%</t>
  </si>
  <si>
    <t> 2-5%</t>
  </si>
  <si>
    <t>2 - 4%</t>
  </si>
  <si>
    <t>2-3%</t>
  </si>
  <si>
    <t>External third party screening solution to screen new and existing suppliers and contractors</t>
  </si>
  <si>
    <t>Refer to disclosures 412-3, 414-1 and 308-1 in Gold Fields GRI Content Index 2023</t>
  </si>
  <si>
    <t>Codes of Conduct : Coverage</t>
  </si>
  <si>
    <t>% relative to total number of:</t>
  </si>
  <si>
    <t>Coverage</t>
  </si>
  <si>
    <t>Written Acknowledgement</t>
  </si>
  <si>
    <t>Training Provided</t>
  </si>
  <si>
    <t>Contractors / Suppliers / Service Providers</t>
  </si>
  <si>
    <t>Subsidiaries</t>
  </si>
  <si>
    <t>Joint ventures (including stakes above 10%)</t>
  </si>
  <si>
    <t>All Gold Fields employees, contractors, suppliers, service providers, subsidiaries and joint ventures are required to accept and comply with the Code of Conduct.</t>
  </si>
  <si>
    <t>Production</t>
  </si>
  <si>
    <t>Total Tonnes mined (Mt)</t>
  </si>
  <si>
    <t>Group</t>
  </si>
  <si>
    <t>Total Tonnes Processed (Mt)</t>
  </si>
  <si>
    <t>Total Gold Produced Managed (koz)</t>
  </si>
  <si>
    <t>Gruyere ¹</t>
  </si>
  <si>
    <t>Granny Smith</t>
  </si>
  <si>
    <t xml:space="preserve">St Ives </t>
  </si>
  <si>
    <t>Agnew</t>
  </si>
  <si>
    <t xml:space="preserve">Damang </t>
  </si>
  <si>
    <t>Tarkwa</t>
  </si>
  <si>
    <t>Gold Fields</t>
  </si>
  <si>
    <t>¹Includes 100% of managed production</t>
  </si>
  <si>
    <t>Greenhouse Gas (GHG) Emissions</t>
  </si>
  <si>
    <r>
      <rPr>
        <b/>
        <sz val="9"/>
        <color rgb="FFFFFFFF"/>
        <rFont val="Arial"/>
        <family val="2"/>
      </rPr>
      <t>CO</t>
    </r>
    <r>
      <rPr>
        <b/>
        <vertAlign val="subscript"/>
        <sz val="9"/>
        <color rgb="FFFFFFFF"/>
        <rFont val="Arial"/>
        <family val="2"/>
      </rPr>
      <t>2</t>
    </r>
    <r>
      <rPr>
        <b/>
        <sz val="9"/>
        <color rgb="FFFFFFFF"/>
        <rFont val="Arial"/>
        <family val="2"/>
      </rPr>
      <t xml:space="preserve">e emissions (kt) (Scope 1-3¹) </t>
    </r>
    <r>
      <rPr>
        <b/>
        <sz val="9"/>
        <color rgb="FFFFFFFF"/>
        <rFont val="Calibri"/>
        <family val="2"/>
      </rPr>
      <t>²</t>
    </r>
  </si>
  <si>
    <t>¹Emission factors 2018 to 2020 for West Africa and Americas restated in line with ISO 14064, which adjusted the Group nunbers</t>
  </si>
  <si>
    <r>
      <rPr>
        <sz val="8"/>
        <color rgb="FF000000"/>
        <rFont val="Calibri"/>
        <family val="2"/>
      </rPr>
      <t>²</t>
    </r>
    <r>
      <rPr>
        <sz val="8"/>
        <color rgb="FF000000"/>
        <rFont val="Arial"/>
        <family val="2"/>
      </rPr>
      <t xml:space="preserve"> 2023 Excludes Head Offices</t>
    </r>
  </si>
  <si>
    <t xml:space="preserve">GRI 305-1 Direct (Scope 1) GHG emissions </t>
  </si>
  <si>
    <t>CO₂e emissions  (kt) (scope 1¹)</t>
  </si>
  <si>
    <t>Gruyere</t>
  </si>
  <si>
    <t>St Ives</t>
  </si>
  <si>
    <t>Damang</t>
  </si>
  <si>
    <r>
      <rPr>
        <b/>
        <sz val="9"/>
        <color rgb="FF000000"/>
        <rFont val="Arial"/>
        <family val="2"/>
      </rPr>
      <t>Group</t>
    </r>
    <r>
      <rPr>
        <b/>
        <sz val="9"/>
        <color rgb="FF000000"/>
        <rFont val="Calibri"/>
        <family val="2"/>
      </rPr>
      <t>²</t>
    </r>
  </si>
  <si>
    <t>² 2023 excludes Head Offices</t>
  </si>
  <si>
    <t>SASB EM-MM-110a.1. Percentage (%) covered under emissions-limiting regulations*</t>
  </si>
  <si>
    <t>Percentage (%) covered under emissions-limiting regulations</t>
  </si>
  <si>
    <t>*Applicable to Australia, limited to Scope 1 emissions under the Safeguard Mechanism</t>
  </si>
  <si>
    <t xml:space="preserve">GRI 305-2 Indirect (Scope 2) GHG emissions </t>
  </si>
  <si>
    <t>CO₂e emissions (kt) (scope 2¹)</t>
  </si>
  <si>
    <t>² 2023 Excludes Head Offices</t>
  </si>
  <si>
    <t xml:space="preserve">Grid Electricity </t>
  </si>
  <si>
    <t>Gas Plants Electricity</t>
  </si>
  <si>
    <t>Group Total</t>
  </si>
  <si>
    <t>0..67</t>
  </si>
  <si>
    <t>lpg / grid</t>
  </si>
  <si>
    <t>diesel/grid</t>
  </si>
  <si>
    <t xml:space="preserve">GRI 305-2 Indirect (Scope 1 and Scope 2) GHG emissions </t>
  </si>
  <si>
    <t>CO₂e emissions (kt) (Scope 1 and scope 2¹)</t>
  </si>
  <si>
    <t xml:space="preserve">GRI 305-3 Other Indirect (Scope 3) GHG emissions </t>
  </si>
  <si>
    <t xml:space="preserve">CO₂e emissions (kt) (scope 3¹) </t>
  </si>
  <si>
    <t>¹ Scope  1 - 3 includes operations and excludes Head offices for 2023</t>
  </si>
  <si>
    <r>
      <rPr>
        <b/>
        <sz val="9"/>
        <color rgb="FFFFFFFF"/>
        <rFont val="Arial"/>
        <family val="2"/>
      </rPr>
      <t>Direct (Scope 1) GHG emissions in metric tonnes of CO</t>
    </r>
    <r>
      <rPr>
        <b/>
        <vertAlign val="subscript"/>
        <sz val="9"/>
        <color rgb="FFFFFFFF"/>
        <rFont val="Arial"/>
        <family val="2"/>
      </rPr>
      <t>2</t>
    </r>
    <r>
      <rPr>
        <b/>
        <sz val="9"/>
        <color rgb="FFFFFFFF"/>
        <rFont val="Arial"/>
        <family val="2"/>
      </rPr>
      <t xml:space="preserve"> equivalent (CO2-e)</t>
    </r>
  </si>
  <si>
    <t>Gold Fields’ direct GHG emissions are primarily from fuel purchased by us and used at our operations.</t>
  </si>
  <si>
    <r>
      <rPr>
        <sz val="8"/>
        <color rgb="FF000000"/>
        <rFont val="Arial"/>
        <family val="2"/>
      </rPr>
      <t>Gases included in the calculation are CO</t>
    </r>
    <r>
      <rPr>
        <vertAlign val="subscript"/>
        <sz val="8"/>
        <color rgb="FF000000"/>
        <rFont val="Arial"/>
        <family val="2"/>
      </rPr>
      <t>2</t>
    </r>
    <r>
      <rPr>
        <sz val="8"/>
        <color rgb="FF000000"/>
        <rFont val="Arial"/>
        <family val="2"/>
      </rPr>
      <t xml:space="preserve"> CH</t>
    </r>
    <r>
      <rPr>
        <vertAlign val="subscript"/>
        <sz val="8"/>
        <color rgb="FF000000"/>
        <rFont val="Arial"/>
        <family val="2"/>
      </rPr>
      <t>4</t>
    </r>
    <r>
      <rPr>
        <sz val="8"/>
        <color rgb="FF000000"/>
        <rFont val="Arial"/>
        <family val="2"/>
      </rPr>
      <t xml:space="preserve"> and N</t>
    </r>
    <r>
      <rPr>
        <vertAlign val="subscript"/>
        <sz val="8"/>
        <color rgb="FF000000"/>
        <rFont val="Arial"/>
        <family val="2"/>
      </rPr>
      <t>2</t>
    </r>
    <r>
      <rPr>
        <sz val="8"/>
        <color rgb="FF000000"/>
        <rFont val="Arial"/>
        <family val="2"/>
      </rPr>
      <t>O. Biogenic CO</t>
    </r>
    <r>
      <rPr>
        <vertAlign val="subscript"/>
        <sz val="8"/>
        <color rgb="FF000000"/>
        <rFont val="Arial"/>
        <family val="2"/>
      </rPr>
      <t>2</t>
    </r>
    <r>
      <rPr>
        <sz val="8"/>
        <color rgb="FF000000"/>
        <rFont val="Arial"/>
        <family val="2"/>
      </rPr>
      <t xml:space="preserve"> emissions are not applicable to Gold Fields.</t>
    </r>
  </si>
  <si>
    <t xml:space="preserve">Gold Fields’ carbon footprint is calculated in accordance with the ISO 14064 Part 1 Standard (“Specification with guidance at the organisation level for quantification and reporting of greenhouse gas emissions and removals”). </t>
  </si>
  <si>
    <t>The quantification methodology is a calculation based on GHG activity data multiplied by GHG emission or removal factors.</t>
  </si>
  <si>
    <t xml:space="preserve">The majority of the emission factors used are obtained from DEFRA 2022 (version 1), the IPCC Fourth Assessment Guidelines, Climate Registry, Eskom Supplementary and Divisional Report 2016 and Ecometrica. </t>
  </si>
  <si>
    <t>On emission converssion factors, preference is given to data obtained from the oroginal equipment manufacturers, enery suppliers, then country specific, with the DEFRA source as last resort</t>
  </si>
  <si>
    <t>The GWP rates are obtained from the IPCC Fourth Assessment Guidelines.</t>
  </si>
  <si>
    <t>Gold Fields’ carbon footprint is calculated based on the operational control consolidation approach.</t>
  </si>
  <si>
    <r>
      <rPr>
        <b/>
        <sz val="9"/>
        <color rgb="FFFFFFFF"/>
        <rFont val="Arial"/>
        <family val="2"/>
      </rPr>
      <t>Indirect (Scope 2) GHG emissions in metric tonnes of CO</t>
    </r>
    <r>
      <rPr>
        <b/>
        <vertAlign val="subscript"/>
        <sz val="9"/>
        <color rgb="FFFFFFFF"/>
        <rFont val="Arial"/>
        <family val="2"/>
      </rPr>
      <t>2</t>
    </r>
    <r>
      <rPr>
        <b/>
        <sz val="9"/>
        <color rgb="FFFFFFFF"/>
        <rFont val="Arial"/>
        <family val="2"/>
      </rPr>
      <t xml:space="preserve"> equivalent </t>
    </r>
  </si>
  <si>
    <t>The gas included in the calculation is CO2ₑ.</t>
  </si>
  <si>
    <t>Scope 2 emissions are derived solely from electricity purchased from power suppliers.</t>
  </si>
  <si>
    <t xml:space="preserve">Emission factors are obtained from DEFRA 2022 (version 1), the IPCC Fourth Assessment Guidelines, Climate Registry, Eskom Supplementary and Divisional Report 2016 and Ecometrica. </t>
  </si>
  <si>
    <r>
      <rPr>
        <b/>
        <sz val="9"/>
        <color rgb="FFFFFFFF"/>
        <rFont val="Arial"/>
        <family val="2"/>
      </rPr>
      <t>Indirect (Scope 3) GHG emissions in metric tonnes of CO</t>
    </r>
    <r>
      <rPr>
        <b/>
        <vertAlign val="subscript"/>
        <sz val="9"/>
        <color rgb="FFFFFFFF"/>
        <rFont val="Arial"/>
        <family val="2"/>
      </rPr>
      <t>2</t>
    </r>
    <r>
      <rPr>
        <b/>
        <sz val="9"/>
        <color rgb="FFFFFFFF"/>
        <rFont val="Arial"/>
        <family val="2"/>
      </rPr>
      <t xml:space="preserve"> equivalent </t>
    </r>
  </si>
  <si>
    <t>Gold Fields collected data and calculated emissions for all categories as per the GHG Protocol Value Chain Standard. The following are Scope 3 categories examined:</t>
  </si>
  <si>
    <t>1.   Purchased goods and services</t>
  </si>
  <si>
    <t>2.   Capital goods – not applicable</t>
  </si>
  <si>
    <t>3.  Fuel-and-energy-related activities (not included in Scope 1 or 2)</t>
  </si>
  <si>
    <t>4.   Upstream transportation and distribution</t>
  </si>
  <si>
    <t>5.   Waste generated in operations</t>
  </si>
  <si>
    <t>6.  Business travel</t>
  </si>
  <si>
    <t>7.   Employee commuting</t>
  </si>
  <si>
    <t>8.   Upstream leased assets</t>
  </si>
  <si>
    <t>9.   Downstream transportation and distribution</t>
  </si>
  <si>
    <t>10. Processing of sold products</t>
  </si>
  <si>
    <t>11. Use of sold products</t>
  </si>
  <si>
    <t>12. End-of-life treatment of sold products</t>
  </si>
  <si>
    <t>13. Downstream leased assets</t>
  </si>
  <si>
    <t>14. Franchises</t>
  </si>
  <si>
    <t>15. Investments</t>
  </si>
  <si>
    <t>Gold Fields assesses all categories of Scope 3. However, categories 8, 13, and 14 are not applicable and do not contribute to the reported total Scope 3.</t>
  </si>
  <si>
    <t xml:space="preserve">Emission factors were obtained from DEFRA, the IPCC Fourth Assessment Guidelines, Climate Registry, and US EPA. </t>
  </si>
  <si>
    <r>
      <rPr>
        <b/>
        <sz val="9"/>
        <color rgb="FFFFFFFF"/>
        <rFont val="Arial"/>
        <family val="2"/>
      </rPr>
      <t>GRI 305-4 Carbon intensity</t>
    </r>
    <r>
      <rPr>
        <b/>
        <sz val="9"/>
        <color rgb="FFFFFFFF"/>
        <rFont val="Calibri"/>
        <family val="2"/>
      </rPr>
      <t>¹</t>
    </r>
    <r>
      <rPr>
        <b/>
        <sz val="9"/>
        <color rgb="FFFFFFFF"/>
        <rFont val="Arial"/>
        <family val="2"/>
      </rPr>
      <t xml:space="preserve"> (tCO</t>
    </r>
    <r>
      <rPr>
        <b/>
        <vertAlign val="subscript"/>
        <sz val="9"/>
        <color rgb="FFFFFFFF"/>
        <rFont val="Arial"/>
        <family val="2"/>
      </rPr>
      <t>2</t>
    </r>
    <r>
      <rPr>
        <b/>
        <sz val="9"/>
        <color rgb="FFFFFFFF"/>
        <rFont val="Arial"/>
        <family val="2"/>
      </rPr>
      <t>e/oz) based on Scope 1 and 2</t>
    </r>
  </si>
  <si>
    <t>Operations</t>
  </si>
  <si>
    <t>Gruyere²</t>
  </si>
  <si>
    <t>Cerro Corona</t>
  </si>
  <si>
    <t>Emission intensity</t>
  </si>
  <si>
    <t>² Gruyere started production Q3 2019</t>
  </si>
  <si>
    <t>The ratio denominator is ounces of gold produced.</t>
  </si>
  <si>
    <r>
      <rPr>
        <sz val="8"/>
        <color rgb="FF000000"/>
        <rFont val="Arial"/>
        <family val="2"/>
      </rPr>
      <t>The types of GHG emissions included are Direct (Scope 1) and Energy Indirect (Scope 2). Gases included in the calculation are CO</t>
    </r>
    <r>
      <rPr>
        <vertAlign val="subscript"/>
        <sz val="8"/>
        <color rgb="FF000000"/>
        <rFont val="Arial"/>
        <family val="2"/>
      </rPr>
      <t>2</t>
    </r>
    <r>
      <rPr>
        <sz val="8"/>
        <color rgb="FF000000"/>
        <rFont val="Arial"/>
        <family val="2"/>
      </rPr>
      <t>, CH</t>
    </r>
    <r>
      <rPr>
        <vertAlign val="subscript"/>
        <sz val="8"/>
        <color rgb="FF000000"/>
        <rFont val="Arial"/>
        <family val="2"/>
      </rPr>
      <t>4</t>
    </r>
    <r>
      <rPr>
        <sz val="8"/>
        <color rgb="FF000000"/>
        <rFont val="Arial"/>
        <family val="2"/>
      </rPr>
      <t xml:space="preserve"> and N</t>
    </r>
    <r>
      <rPr>
        <vertAlign val="subscript"/>
        <sz val="8"/>
        <color rgb="FF000000"/>
        <rFont val="Arial"/>
        <family val="2"/>
      </rPr>
      <t>2</t>
    </r>
    <r>
      <rPr>
        <sz val="8"/>
        <color rgb="FF000000"/>
        <rFont val="Arial"/>
        <family val="2"/>
      </rPr>
      <t>O.</t>
    </r>
  </si>
  <si>
    <r>
      <rPr>
        <b/>
        <sz val="9"/>
        <color rgb="FFFFFFFF"/>
        <rFont val="Arial"/>
        <family val="2"/>
      </rPr>
      <t>GRI 305-4 Carbon intensity</t>
    </r>
    <r>
      <rPr>
        <b/>
        <sz val="9"/>
        <color rgb="FFFFFFFF"/>
        <rFont val="Calibri"/>
        <family val="2"/>
      </rPr>
      <t>¹</t>
    </r>
    <r>
      <rPr>
        <b/>
        <sz val="9"/>
        <color rgb="FFFFFFFF"/>
        <rFont val="Arial"/>
        <family val="2"/>
      </rPr>
      <t xml:space="preserve"> (tCO</t>
    </r>
    <r>
      <rPr>
        <b/>
        <vertAlign val="subscript"/>
        <sz val="9"/>
        <color rgb="FFFFFFFF"/>
        <rFont val="Arial"/>
        <family val="2"/>
      </rPr>
      <t>2</t>
    </r>
    <r>
      <rPr>
        <b/>
        <sz val="9"/>
        <color rgb="FFFFFFFF"/>
        <rFont val="Arial"/>
        <family val="2"/>
      </rPr>
      <t>e/t mined) based on Scope 1 and 2</t>
    </r>
  </si>
  <si>
    <r>
      <rPr>
        <sz val="8"/>
        <color rgb="FF000000"/>
        <rFont val="Calibri"/>
        <family val="2"/>
      </rPr>
      <t>¹</t>
    </r>
    <r>
      <rPr>
        <sz val="8"/>
        <color rgb="FF000000"/>
        <rFont val="Arial"/>
        <family val="2"/>
      </rPr>
      <t xml:space="preserve">Only operations and excludes Head offices </t>
    </r>
  </si>
  <si>
    <t>The ratio denominator is tonnes of gold mined</t>
  </si>
  <si>
    <t>Annual GHG emissions avoided (ktCO₂e)</t>
  </si>
  <si>
    <r>
      <rPr>
        <sz val="8"/>
        <color rgb="FF000000"/>
        <rFont val="Arial"/>
        <family val="2"/>
      </rPr>
      <t>The types of GHG emissions included are Direct (Scope 1) and Energy Indirect (Scope 2). Gases included in the calculation are CO</t>
    </r>
    <r>
      <rPr>
        <vertAlign val="subscript"/>
        <sz val="9"/>
        <color rgb="FF000000"/>
        <rFont val="Arial"/>
        <family val="2"/>
      </rPr>
      <t>2</t>
    </r>
    <r>
      <rPr>
        <sz val="9"/>
        <color rgb="FF000000"/>
        <rFont val="Arial"/>
        <family val="2"/>
      </rPr>
      <t>, CH</t>
    </r>
    <r>
      <rPr>
        <vertAlign val="subscript"/>
        <sz val="9"/>
        <color rgb="FF000000"/>
        <rFont val="Arial"/>
        <family val="2"/>
      </rPr>
      <t>4</t>
    </r>
    <r>
      <rPr>
        <sz val="9"/>
        <color rgb="FF000000"/>
        <rFont val="Arial"/>
        <family val="2"/>
      </rPr>
      <t xml:space="preserve"> and N</t>
    </r>
    <r>
      <rPr>
        <vertAlign val="subscript"/>
        <sz val="9"/>
        <color rgb="FF000000"/>
        <rFont val="Arial"/>
        <family val="2"/>
      </rPr>
      <t>2</t>
    </r>
    <r>
      <rPr>
        <sz val="9"/>
        <color rgb="FF000000"/>
        <rFont val="Arial"/>
        <family val="2"/>
      </rPr>
      <t>O.</t>
    </r>
  </si>
  <si>
    <t>The basis for calculating reductions in emissions was directly related to energy efficiency projects implemented. Energy savings initiatives impact are captured for 36 months, after which they become baseline.</t>
  </si>
  <si>
    <t xml:space="preserve"> As the energy efficiency of gold mining is influenced by many factors, such as hauling distances, mining depth, ore quality and stripping ratios, emission reductions should be linked back to actual projects implemented.</t>
  </si>
  <si>
    <t>Emission reduction initiatives were calculated in accordance with:</t>
  </si>
  <si>
    <t>• Greenhouse Gas Protocol and WRI Mitigation Goal Standard: an accounting and reporting standard for national and subnational greenhouse gas reduction goals</t>
  </si>
  <si>
    <t>• ISO 14064 Part 1</t>
  </si>
  <si>
    <t>• Greenhouse Gas Protocol A Corporate Accounting and Reporting Standard (Revised Edition)</t>
  </si>
  <si>
    <t xml:space="preserve">SASB EM-MM-120a.1 </t>
  </si>
  <si>
    <t xml:space="preserve">GRI 305 - 7 Group NOₓ and SOₓ emissions ¹ (t) </t>
  </si>
  <si>
    <t xml:space="preserve">NOₓ </t>
  </si>
  <si>
    <t>SOₓ</t>
  </si>
  <si>
    <t>Hg, Pb, VOCs²</t>
  </si>
  <si>
    <r>
      <rPr>
        <sz val="9"/>
        <color rgb="FF000000"/>
        <rFont val="Arial"/>
        <family val="2"/>
      </rPr>
      <t>PM</t>
    </r>
    <r>
      <rPr>
        <vertAlign val="subscript"/>
        <sz val="8"/>
        <color rgb="FF000000"/>
        <rFont val="Arial"/>
        <family val="2"/>
      </rPr>
      <t xml:space="preserve">10 </t>
    </r>
    <r>
      <rPr>
        <sz val="8"/>
        <color rgb="FF000000"/>
        <rFont val="Arial"/>
        <family val="2"/>
      </rPr>
      <t>or less³</t>
    </r>
  </si>
  <si>
    <t xml:space="preserve">¹ Noₓ  and Soₓ are calculated according to the average Noₓ  and Soₓ factors from the Environmental Protection Agency (EPA), Vol 11, July 2001, for the whole group to allow for consistency. </t>
  </si>
  <si>
    <t>² Not material and not significant KPI for gold mining and processing activities within the Group, and Gold Fields Materiality Assessment</t>
  </si>
  <si>
    <t>³ Gold Fields do not currently collect, collate and / or report on this KPI Group Wide</t>
  </si>
  <si>
    <t>GRI 302-1 Energy consumption within the organization</t>
  </si>
  <si>
    <r>
      <rPr>
        <b/>
        <sz val="9"/>
        <color rgb="FFF7F5F1"/>
        <rFont val="Arial"/>
        <family val="2"/>
      </rPr>
      <t>Group energy consumption</t>
    </r>
    <r>
      <rPr>
        <b/>
        <strike/>
        <sz val="9"/>
        <color rgb="FFFF0000"/>
        <rFont val="Arial"/>
        <family val="2"/>
      </rPr>
      <t xml:space="preserve"> </t>
    </r>
    <r>
      <rPr>
        <b/>
        <sz val="9"/>
        <color rgb="FFF7F5F1"/>
        <rFont val="Arial"/>
        <family val="2"/>
      </rPr>
      <t>by type</t>
    </r>
  </si>
  <si>
    <t>Other Fuels² (TJ)</t>
  </si>
  <si>
    <t>Total (TJ)</t>
  </si>
  <si>
    <t>Total (GWh)</t>
  </si>
  <si>
    <t>¹ Electricity:  includes direct and indirect electricity including diesel for power</t>
  </si>
  <si>
    <t>²Other includes Petrol, LPG, Pipeline Natural Gas (2021) and Acetylene</t>
  </si>
  <si>
    <t>³Split restated to reflect where energy is used as opposed to resulting Direct (Scope 1) and Indirect (Scope 2) GHG emissions. Damang Diesel for Power emits Scope 1 emissions and Australia's Diesel for Power emits Scope 2 emissions.</t>
  </si>
  <si>
    <t>Renewable Electricity (MWh) (Energy)</t>
  </si>
  <si>
    <r>
      <rPr>
        <b/>
        <sz val="9"/>
        <color rgb="FFFFFFFF"/>
        <rFont val="Arial"/>
        <family val="2"/>
      </rPr>
      <t xml:space="preserve">Non- Renewable Electricity </t>
    </r>
    <r>
      <rPr>
        <b/>
        <sz val="9"/>
        <color rgb="FFFFFFFF"/>
        <rFont val="Calibri"/>
        <family val="2"/>
      </rPr>
      <t xml:space="preserve">¹ </t>
    </r>
    <r>
      <rPr>
        <b/>
        <sz val="9"/>
        <color rgb="FFFFFFFF"/>
        <rFont val="Arial"/>
        <family val="2"/>
      </rPr>
      <t xml:space="preserve">(MWh) </t>
    </r>
  </si>
  <si>
    <t>¹ Electricity:  includes direct and indirect electricity and includes electricity generated/used on site by diesel and gas</t>
  </si>
  <si>
    <r>
      <rPr>
        <b/>
        <sz val="9"/>
        <color rgb="FFF7F5F1"/>
        <rFont val="Arial"/>
        <family val="2"/>
      </rPr>
      <t>Non- Renewable Energy excluding Electricity (MWh)</t>
    </r>
    <r>
      <rPr>
        <b/>
        <sz val="9"/>
        <color rgb="FFF7F5F1"/>
        <rFont val="Calibri"/>
        <family val="2"/>
      </rPr>
      <t>¹</t>
    </r>
  </si>
  <si>
    <t>¹Non-renewable energy (fuels) for Gold Fields comprises of Diesel, Petrol, LPG, Gas for Power (Natural Gas) and Acetylene</t>
  </si>
  <si>
    <t>Excludes Diesel Power Generation</t>
  </si>
  <si>
    <r>
      <rPr>
        <b/>
        <sz val="9"/>
        <color rgb="FFF7F5F1"/>
        <rFont val="Arial"/>
        <family val="2"/>
      </rPr>
      <t>Total Non- Renewable Energy (MWh)</t>
    </r>
    <r>
      <rPr>
        <b/>
        <sz val="9"/>
        <color rgb="FFF7F5F1"/>
        <rFont val="Calibri"/>
        <family val="2"/>
      </rPr>
      <t>¹</t>
    </r>
  </si>
  <si>
    <t>¹Includes purchased electricity and electricity generated/used on site by diesel and gas</t>
  </si>
  <si>
    <t>Gold Fields does not sell electricity, heating, cooling or steam.</t>
  </si>
  <si>
    <t xml:space="preserve">As per the guidance under 302-1, organisations are expected to select a consistent boundary for energy consumption. When possible, the boundary should be consistent with the boundary used in Indicators 305-1 and 305-2. </t>
  </si>
  <si>
    <t xml:space="preserve">The methodology used to calculate the direct and indirect energy consumption by primary energy source is by multiplying the measured amounts consumed with default energy content factors. </t>
  </si>
  <si>
    <t>Energy consumption is obtained by meter readings and cross checked with invoices. If no meter is installed, the data is obtained from invoices only.</t>
  </si>
  <si>
    <t xml:space="preserve">The energy content of fuels consumed on site was calculated using conversion factors from Defra 2021 Version 1. </t>
  </si>
  <si>
    <t xml:space="preserve">Our Granny Smith, Agnew and Gruyere operations purchase gas for their on-site gas-fired power stations that are owned and operated by independent power producers (IPP's). These sites also pay for electricity delivery. </t>
  </si>
  <si>
    <t>Our Damang and Tarkwa operations have on-site gas-fired power stations, owned and operated over the fence by an IPP. The IPP's are also responsible for the procurement of gas. Our St Ives, Cerro Corona and South Deep mines purchase electricity from the grid.</t>
  </si>
  <si>
    <t>Regional Energy Spend (US$m)</t>
  </si>
  <si>
    <r>
      <rPr>
        <b/>
        <sz val="9"/>
        <color rgb="FFF7F5F1"/>
        <rFont val="Arial"/>
        <family val="2"/>
      </rPr>
      <t>2021</t>
    </r>
    <r>
      <rPr>
        <b/>
        <sz val="9"/>
        <color rgb="FFF7F5F1"/>
        <rFont val="Calibri"/>
        <family val="2"/>
      </rPr>
      <t>¹</t>
    </r>
  </si>
  <si>
    <r>
      <rPr>
        <sz val="9"/>
        <color rgb="FF000000"/>
        <rFont val="Arial"/>
        <family val="2"/>
      </rPr>
      <t>Australia</t>
    </r>
    <r>
      <rPr>
        <sz val="9"/>
        <color rgb="FF000000"/>
        <rFont val="Calibri"/>
        <family val="2"/>
      </rPr>
      <t>¹</t>
    </r>
  </si>
  <si>
    <t>¹Includes 100% energy costs for Gruyere, previously 50% was included</t>
  </si>
  <si>
    <t>GRI 302-2 Energy consumed outside of the organisation (TJ)¹</t>
  </si>
  <si>
    <r>
      <rPr>
        <b/>
        <sz val="9"/>
        <color rgb="FFF7F5F1"/>
        <rFont val="Arial"/>
        <family val="2"/>
      </rPr>
      <t>2020</t>
    </r>
    <r>
      <rPr>
        <b/>
        <sz val="9"/>
        <color rgb="FFF7F5F1"/>
        <rFont val="Calibri"/>
        <family val="2"/>
      </rPr>
      <t>¹</t>
    </r>
  </si>
  <si>
    <t xml:space="preserve">¹As of 2023, Gold Fields no longer measure energy consumed outside of the organisaton. Rather, the emissions (scope 3) are a preferred measurement.  </t>
  </si>
  <si>
    <t>GRI 302-3 Energy Intensity</t>
  </si>
  <si>
    <t>Total Energy per Ounces Produced (GJ/oz)</t>
  </si>
  <si>
    <t>Total Energy per Tonnes Mined (MJ/t)</t>
  </si>
  <si>
    <t>1 227</t>
  </si>
  <si>
    <t>1 355</t>
  </si>
  <si>
    <t>The organisation-specific metric is ounce of gold, as our saleable product, this metric is externally assured.</t>
  </si>
  <si>
    <t>Fuels and electricity have been included in the energy intensity ratio.</t>
  </si>
  <si>
    <t>Energy consumed within the organisation has been included in the ratio.</t>
  </si>
  <si>
    <t>The energy losses from the onsite power generators are accounted for by applying an energy efficiency factor at the respective sites where Gold Fields purchases gas.</t>
  </si>
  <si>
    <t>Total Electricity per Ounces Produced (kWh/oz)</t>
  </si>
  <si>
    <t>Total Electricity per Tonnes Mined (MWh/Gt)</t>
  </si>
  <si>
    <t xml:space="preserve">GRI 302-4 Group Reduction of energy consumption </t>
  </si>
  <si>
    <t>2021¹</t>
  </si>
  <si>
    <t>Annual energy savings from projects implemented since 2013 (TJ)</t>
  </si>
  <si>
    <t>Cumulative energy savings from projects implemented since 2013 (TJ)</t>
  </si>
  <si>
    <r>
      <rPr>
        <sz val="9"/>
        <color rgb="FF000000"/>
        <rFont val="Arial"/>
        <family val="2"/>
      </rPr>
      <t>Annual GHG emissions avoided (ktCO</t>
    </r>
    <r>
      <rPr>
        <vertAlign val="subscript"/>
        <sz val="9"/>
        <color rgb="FF000000"/>
        <rFont val="Arial"/>
        <family val="2"/>
      </rPr>
      <t>2</t>
    </r>
    <r>
      <rPr>
        <sz val="9"/>
        <color rgb="FF000000"/>
        <rFont val="Arial"/>
        <family val="2"/>
      </rPr>
      <t>-e)</t>
    </r>
    <r>
      <rPr>
        <sz val="9"/>
        <color rgb="FF000000"/>
        <rFont val="Calibri"/>
        <family val="2"/>
      </rPr>
      <t>²</t>
    </r>
  </si>
  <si>
    <r>
      <rPr>
        <sz val="9"/>
        <color rgb="FF000000"/>
        <rFont val="Arial"/>
        <family val="2"/>
      </rPr>
      <t>Cumulative GHG emissions avoided (ktCO</t>
    </r>
    <r>
      <rPr>
        <vertAlign val="subscript"/>
        <sz val="9"/>
        <color rgb="FF000000"/>
        <rFont val="Arial"/>
        <family val="2"/>
      </rPr>
      <t>2</t>
    </r>
    <r>
      <rPr>
        <sz val="9"/>
        <color rgb="FF000000"/>
        <rFont val="Arial"/>
        <family val="2"/>
      </rPr>
      <t>-e)</t>
    </r>
    <r>
      <rPr>
        <sz val="9"/>
        <color rgb="FF000000"/>
        <rFont val="Calibri"/>
        <family val="2"/>
      </rPr>
      <t>²</t>
    </r>
  </si>
  <si>
    <t>Annual cost savings (US$m)</t>
  </si>
  <si>
    <t>Cumulative cost savings (US$m)</t>
  </si>
  <si>
    <t>Gold production ('000 ounces )</t>
  </si>
  <si>
    <t>Cost reduction (US$ per ounce)</t>
  </si>
  <si>
    <t>11,16</t>
  </si>
  <si>
    <t>20,76</t>
  </si>
  <si>
    <t>13,88</t>
  </si>
  <si>
    <t>10,67</t>
  </si>
  <si>
    <t>12,24</t>
  </si>
  <si>
    <t>14,24</t>
  </si>
  <si>
    <t>10,19</t>
  </si>
  <si>
    <t>5,14</t>
  </si>
  <si>
    <t>¹Of the Group’s 2021 energy savings of 1.2PJ, 5.6TJ (0.5%) were derived from electricity savings initiatives at our Tarkwa mine which are not in line with ERM’s definition. As they resulted in cost, energy and emissions savings, they have been recognised as exceptional savings by the Gold Fields Group Head of Energy and Carbon</t>
  </si>
  <si>
    <t>The types of energy included in the reductions were fuel and electricity.</t>
  </si>
  <si>
    <t>The basis for calculating reductions in energy consumption was directly related to energy efficiency initiatives implemented.</t>
  </si>
  <si>
    <t>As the energy efficiency of gold mining is influenced by many factors, such as hauling distances, mine plan adjustments, mining depth, ore quality and stripping ratios, energy reductions should be linked back to actual initiatives implemented.</t>
  </si>
  <si>
    <t>The Greenhouse Gas Protocol and WRI Mitigation Goal Standard, an accounting and reporting standard for national and subnational greenhouse gas reduction goals, were the standards followed to calculate the impact of energy reduction projects.</t>
  </si>
  <si>
    <r>
      <rPr>
        <sz val="8"/>
        <color rgb="FF000000"/>
        <rFont val="Calibri"/>
        <family val="2"/>
      </rPr>
      <t>²</t>
    </r>
    <r>
      <rPr>
        <sz val="8"/>
        <color rgb="FF000000"/>
        <rFont val="Arial"/>
        <family val="2"/>
      </rPr>
      <t>Emission factors 2016 to 2020 for West Africa and Americas restated in line with ISO 14064, which adjusted the Group nunbers</t>
    </r>
  </si>
  <si>
    <t>Regional Energy Performance</t>
  </si>
  <si>
    <t>Diesel (TJ)</t>
  </si>
  <si>
    <t>Electricity¹ (TJ)</t>
  </si>
  <si>
    <t>Total energy usage (TJ)</t>
  </si>
  <si>
    <t>4,703</t>
  </si>
  <si>
    <t>3,908</t>
  </si>
  <si>
    <t>3,142</t>
  </si>
  <si>
    <t>3,632</t>
  </si>
  <si>
    <t>3,604</t>
  </si>
  <si>
    <t>.</t>
  </si>
  <si>
    <t>Energy split electricity/fuel (%)</t>
  </si>
  <si>
    <t>52/48</t>
  </si>
  <si>
    <t>56/44</t>
  </si>
  <si>
    <t>49/51</t>
  </si>
  <si>
    <t>46/54</t>
  </si>
  <si>
    <t>42/58</t>
  </si>
  <si>
    <t>41/59</t>
  </si>
  <si>
    <t>Total energy spend (US$m)</t>
  </si>
  <si>
    <t>Energy spend per oz (US$/oz)</t>
  </si>
  <si>
    <t>Energy initiatives savings (TJ)</t>
  </si>
  <si>
    <t>Energy cost savings (US$m)</t>
  </si>
  <si>
    <r>
      <rPr>
        <sz val="9"/>
        <color rgb="FF000000"/>
        <rFont val="Arial"/>
        <family val="2"/>
      </rPr>
      <t>CO</t>
    </r>
    <r>
      <rPr>
        <vertAlign val="subscript"/>
        <sz val="9"/>
        <color rgb="FF000000"/>
        <rFont val="Arial"/>
        <family val="2"/>
      </rPr>
      <t>2</t>
    </r>
    <r>
      <rPr>
        <sz val="9"/>
        <color rgb="FF000000"/>
        <rFont val="Arial"/>
        <family val="2"/>
      </rPr>
      <t>-e emissions abated (kt)</t>
    </r>
  </si>
  <si>
    <t>SASB EM-MM-130a.1</t>
  </si>
  <si>
    <r>
      <rPr>
        <sz val="9"/>
        <color rgb="FF000000"/>
        <rFont val="Arial"/>
        <family val="2"/>
      </rPr>
      <t>Percentage Grid Electricity (%)</t>
    </r>
    <r>
      <rPr>
        <sz val="9"/>
        <color rgb="FF000000"/>
        <rFont val="Calibri"/>
        <family val="2"/>
      </rPr>
      <t>³</t>
    </r>
  </si>
  <si>
    <r>
      <rPr>
        <sz val="9"/>
        <color rgb="FF000000"/>
        <rFont val="Arial"/>
        <family val="2"/>
      </rPr>
      <t xml:space="preserve">Percentage </t>
    </r>
    <r>
      <rPr>
        <sz val="9"/>
        <color rgb="FF000000"/>
        <rFont val="Calibri"/>
        <family val="2"/>
      </rPr>
      <t>⁴</t>
    </r>
    <r>
      <rPr>
        <sz val="9"/>
        <color rgb="FF000000"/>
        <rFont val="Arial"/>
        <family val="2"/>
      </rPr>
      <t>Renewable Electricity(%)</t>
    </r>
  </si>
  <si>
    <t>²Other includes Gas (LPG and NG) used for process heating, Petrol and Acetylene</t>
  </si>
  <si>
    <r>
      <rPr>
        <sz val="8"/>
        <color rgb="FF000000"/>
        <rFont val="Calibri"/>
        <family val="2"/>
      </rPr>
      <t>³</t>
    </r>
    <r>
      <rPr>
        <sz val="8"/>
        <color rgb="FF000000"/>
        <rFont val="Arial"/>
        <family val="2"/>
      </rPr>
      <t>Divested from Darlot effective Q4 2017</t>
    </r>
  </si>
  <si>
    <r>
      <rPr>
        <sz val="8"/>
        <color rgb="FF000000"/>
        <rFont val="Calibri"/>
        <family val="2"/>
      </rPr>
      <t>⁴</t>
    </r>
    <r>
      <rPr>
        <sz val="8"/>
        <color rgb="FF000000"/>
        <rFont val="Arial"/>
        <family val="2"/>
      </rPr>
      <t xml:space="preserve"> % of Total electricity consumed </t>
    </r>
  </si>
  <si>
    <t>1,784</t>
  </si>
  <si>
    <t>1,519</t>
  </si>
  <si>
    <t>1,648</t>
  </si>
  <si>
    <t>1,690</t>
  </si>
  <si>
    <t>1,903</t>
  </si>
  <si>
    <t>2,006</t>
  </si>
  <si>
    <t>93/7</t>
  </si>
  <si>
    <t>94/6</t>
  </si>
  <si>
    <t>95/5</t>
  </si>
  <si>
    <t>96/4</t>
  </si>
  <si>
    <t>Percentage Grid Electricity (%)</t>
  </si>
  <si>
    <r>
      <rPr>
        <sz val="9"/>
        <color rgb="FF000000"/>
        <rFont val="Arial"/>
        <family val="2"/>
      </rPr>
      <t>Percentage Renewable Electricity (%)</t>
    </r>
    <r>
      <rPr>
        <sz val="9"/>
        <color rgb="FF000000"/>
        <rFont val="Calibri"/>
        <family val="2"/>
      </rPr>
      <t>³</t>
    </r>
  </si>
  <si>
    <t>2%⁴</t>
  </si>
  <si>
    <t>²Other includes Petrol, LPG, Acetylene</t>
  </si>
  <si>
    <r>
      <rPr>
        <sz val="8"/>
        <color rgb="FF000000"/>
        <rFont val="Calibri"/>
        <family val="2"/>
      </rPr>
      <t>³</t>
    </r>
    <r>
      <rPr>
        <sz val="8"/>
        <color rgb="FF000000"/>
        <rFont val="Arial"/>
        <family val="2"/>
      </rPr>
      <t>Eskom (power utility) purchases renewable energy from the market and supplies via the grid</t>
    </r>
  </si>
  <si>
    <t>⁴ Khanyisa Solar Plant</t>
  </si>
  <si>
    <t>5,688</t>
  </si>
  <si>
    <t>5,888</t>
  </si>
  <si>
    <t>5,792</t>
  </si>
  <si>
    <t>5,713</t>
  </si>
  <si>
    <t>5,647</t>
  </si>
  <si>
    <t>5,072</t>
  </si>
  <si>
    <t>32/68</t>
  </si>
  <si>
    <t>30/70</t>
  </si>
  <si>
    <t>29/71</t>
  </si>
  <si>
    <t>28/72</t>
  </si>
  <si>
    <r>
      <rPr>
        <sz val="9"/>
        <color rgb="FF000000"/>
        <rFont val="Arial"/>
        <family val="2"/>
      </rPr>
      <t>CO</t>
    </r>
    <r>
      <rPr>
        <vertAlign val="subscript"/>
        <sz val="9"/>
        <color rgb="FF000000"/>
        <rFont val="Arial"/>
        <family val="2"/>
      </rPr>
      <t>2</t>
    </r>
    <r>
      <rPr>
        <sz val="9"/>
        <color rgb="FF000000"/>
        <rFont val="Arial"/>
        <family val="2"/>
      </rPr>
      <t>-e emissions abated (kt)</t>
    </r>
    <r>
      <rPr>
        <sz val="9"/>
        <color rgb="FF000000"/>
        <rFont val="Calibri"/>
        <family val="2"/>
      </rPr>
      <t>³</t>
    </r>
  </si>
  <si>
    <t>Percentage Renewable Electricity (%)</t>
  </si>
  <si>
    <r>
      <rPr>
        <sz val="8"/>
        <color rgb="FF000000"/>
        <rFont val="Calibri"/>
        <family val="2"/>
      </rPr>
      <t>³</t>
    </r>
    <r>
      <rPr>
        <sz val="8"/>
        <color rgb="FF000000"/>
        <rFont val="Arial"/>
        <family val="2"/>
      </rPr>
      <t>The emissions factors of the gas-powered generation plants at our Ghanaian mines are now higher than the Ghana grid emissions factor and we no longer include the emissions abated by these plants.</t>
    </r>
  </si>
  <si>
    <t>1,287</t>
  </si>
  <si>
    <t>2,226</t>
  </si>
  <si>
    <t>1,019</t>
  </si>
  <si>
    <t>1,150</t>
  </si>
  <si>
    <t>1,082</t>
  </si>
  <si>
    <t>997</t>
  </si>
  <si>
    <t>1,014</t>
  </si>
  <si>
    <t>45/55</t>
  </si>
  <si>
    <t>50/50</t>
  </si>
  <si>
    <t>55/45</t>
  </si>
  <si>
    <t>54/46</t>
  </si>
  <si>
    <r>
      <rPr>
        <sz val="9"/>
        <color rgb="FF000000"/>
        <rFont val="Arial"/>
        <family val="2"/>
      </rPr>
      <t>CO</t>
    </r>
    <r>
      <rPr>
        <vertAlign val="subscript"/>
        <sz val="9"/>
        <color rgb="FF000000"/>
        <rFont val="Arial"/>
        <family val="2"/>
      </rPr>
      <t>2</t>
    </r>
    <r>
      <rPr>
        <sz val="9"/>
        <color rgb="FF000000"/>
        <rFont val="Arial"/>
        <family val="2"/>
      </rPr>
      <t>-e emissions abated (kt)</t>
    </r>
  </si>
  <si>
    <r>
      <rPr>
        <sz val="8"/>
        <color rgb="FF000000"/>
        <rFont val="Calibri"/>
        <family val="2"/>
      </rPr>
      <t>³</t>
    </r>
    <r>
      <rPr>
        <sz val="8"/>
        <color rgb="FF000000"/>
        <rFont val="Arial"/>
        <family val="2"/>
      </rPr>
      <t>100% Renewable (Hydro) supplied by Kallpa</t>
    </r>
  </si>
  <si>
    <t>Regional and Group Energy and Carbon Performance</t>
  </si>
  <si>
    <t>Electricity Purchased (MWh)</t>
  </si>
  <si>
    <t>Diesel consumption (kL)</t>
  </si>
  <si>
    <t>Total energy consumption (GJ)</t>
  </si>
  <si>
    <t>Energy Intensity (GJ/oz produced)</t>
  </si>
  <si>
    <t>Total Energy Costs (US$m)</t>
  </si>
  <si>
    <t>Energy spend (% of Opex)</t>
  </si>
  <si>
    <t xml:space="preserve">GRI 303-3 Total water withdrawal by source </t>
  </si>
  <si>
    <t xml:space="preserve">Total Water Withdrawal (GL) </t>
  </si>
  <si>
    <t>Operation</t>
  </si>
  <si>
    <t>Sources of Water (GL)</t>
  </si>
  <si>
    <t xml:space="preserve">Surface water </t>
  </si>
  <si>
    <t>Ground water</t>
  </si>
  <si>
    <t>Purchased water</t>
  </si>
  <si>
    <t>Sources of Freshwater (GL)</t>
  </si>
  <si>
    <t>Quality : Total water withdrawal by source (GL) 2023</t>
  </si>
  <si>
    <t>High Quality (Freshwater) (GL)</t>
  </si>
  <si>
    <t>Low Quality (brackish, saline - hypersaline) (GL)</t>
  </si>
  <si>
    <t>Total (GL)</t>
  </si>
  <si>
    <t xml:space="preserve">Ground water </t>
  </si>
  <si>
    <t xml:space="preserve">Purchased </t>
  </si>
  <si>
    <t xml:space="preserve"> Water Recycled/reused (GL)</t>
  </si>
  <si>
    <t xml:space="preserve">South Africa </t>
  </si>
  <si>
    <t>Recycling/Reused %¹</t>
  </si>
  <si>
    <t>¹ % Total Recycled &amp; Reused / Operational water use</t>
  </si>
  <si>
    <t>Total Water withdrawal litre per tonne processed</t>
  </si>
  <si>
    <t>Freshwater withdrawal litre per ounce produced</t>
  </si>
  <si>
    <t>SASB EM-MM-140a.1. Total Freshwater Withdrawn</t>
  </si>
  <si>
    <t xml:space="preserve"> Freshwater¹ Use (Withdrawn) (GL)</t>
  </si>
  <si>
    <t xml:space="preserve">Tarkwa </t>
  </si>
  <si>
    <t>¹ Gold Fields use the ICMM definition for this KPI</t>
  </si>
  <si>
    <t>Freshwater withdrawal litre per tonne processed</t>
  </si>
  <si>
    <t>GRI 303-4 and GRI 303-5</t>
  </si>
  <si>
    <t>2023 Water summary by site (GL)</t>
  </si>
  <si>
    <t>Total Water Withdrawn</t>
  </si>
  <si>
    <t>Total Water Discharge</t>
  </si>
  <si>
    <t>Total Water Consumption ¹ (withdrawn minus total discharges)</t>
  </si>
  <si>
    <t>Other Managed water withdrawal (Diversion)</t>
  </si>
  <si>
    <t>Total Water Recycled</t>
  </si>
  <si>
    <t>Total Water Reused</t>
  </si>
  <si>
    <t>Total Water Withdrawal (GL) Stress Areas</t>
  </si>
  <si>
    <t>Exposure to water stressed areas</t>
  </si>
  <si>
    <t>The Global Water Tool from the WBCSD (v 2015 1.3.5) indicates that South Africa and West Australia are water stressed areas. Currently Gold Fields has 5 out 8 operations located in water stressed regions, which is equivalent to 62.5%.</t>
  </si>
  <si>
    <t>SASB: Gold Fields do not undertake their water stress analysis using the World Resources Institute's (WRI) Water Risk Atlas tool, Aqueduct.</t>
  </si>
  <si>
    <t>SASB EM-MM-140a.1.  (1) % Total fresh water¹ withdrawn in regions with High or Extremely High Baseline Water Stress</t>
  </si>
  <si>
    <t>SASB EM-MM-140a.1. (2)  % Total fresh water consumed in regions with High or Extremely High Baseline Water Stress (% of Group Total)</t>
  </si>
  <si>
    <t>Group Water Costs (US$m)</t>
  </si>
  <si>
    <t>Water Abstraction Costs</t>
  </si>
  <si>
    <t>Water related Energy Costs</t>
  </si>
  <si>
    <t>Water Infrustructure and Maintenance Costs</t>
  </si>
  <si>
    <t>Water Discharge Costs</t>
  </si>
  <si>
    <t>Water Administrative Costs</t>
  </si>
  <si>
    <t>Statutory Legal Penalties</t>
  </si>
  <si>
    <t>Civil Legal Penalties</t>
  </si>
  <si>
    <t>Water Related Incident/non-conformance Remediation Costs</t>
  </si>
  <si>
    <t>Total water management cost</t>
  </si>
  <si>
    <t>Capital Projects Costs</t>
  </si>
  <si>
    <t>Total water cost</t>
  </si>
  <si>
    <t>Environmental Opex and Capex</t>
  </si>
  <si>
    <t>Environmental expenditures/investments (US$ m)</t>
  </si>
  <si>
    <t>Pollution prevention</t>
  </si>
  <si>
    <t>Audits</t>
  </si>
  <si>
    <t>Specialist studies and EIA's</t>
  </si>
  <si>
    <t>Rehabilitation &amp; closure related operational expenditure</t>
  </si>
  <si>
    <t>Rehab fund contributions</t>
  </si>
  <si>
    <t>Other Operational Expenditure</t>
  </si>
  <si>
    <t>Total Environmental expenditures/investments</t>
  </si>
  <si>
    <t xml:space="preserve"> Capital investments (US$ m)</t>
  </si>
  <si>
    <t>Energy and Renewables</t>
  </si>
  <si>
    <r>
      <rPr>
        <sz val="9"/>
        <color rgb="FF000000"/>
        <rFont val="Arial"/>
        <family val="2"/>
      </rPr>
      <t>44.88</t>
    </r>
    <r>
      <rPr>
        <sz val="9"/>
        <color rgb="FF000000"/>
        <rFont val="Calibri"/>
        <family val="2"/>
      </rPr>
      <t>¹</t>
    </r>
  </si>
  <si>
    <t>Water</t>
  </si>
  <si>
    <r>
      <rPr>
        <sz val="8"/>
        <color rgb="FF000000"/>
        <rFont val="Calibri"/>
        <family val="2"/>
      </rPr>
      <t>¹</t>
    </r>
    <r>
      <rPr>
        <sz val="8"/>
        <color rgb="FF000000"/>
        <rFont val="Arial"/>
        <family val="2"/>
      </rPr>
      <t xml:space="preserve"> This includes Capex for renewable projects and trials. It excludes IPP Capex.</t>
    </r>
  </si>
  <si>
    <t>Environmental Stewardship and Compliance</t>
  </si>
  <si>
    <t>GRI 301 - 1 Group input materials (kt )</t>
  </si>
  <si>
    <t>Blasting agents</t>
  </si>
  <si>
    <t>Hydrochloric Acid</t>
  </si>
  <si>
    <t>Lime</t>
  </si>
  <si>
    <t>Cement</t>
  </si>
  <si>
    <t>Caustic soda</t>
  </si>
  <si>
    <t>Cyanide</t>
  </si>
  <si>
    <t>GRI 306 - 3 Group environmental incidents</t>
  </si>
  <si>
    <t>Level 2 incidents</t>
  </si>
  <si>
    <t>Level 3 incidents</t>
  </si>
  <si>
    <t>Level 4 incidents</t>
  </si>
  <si>
    <t>Level 5 incidents</t>
  </si>
  <si>
    <t>Group Total Serious (Level 3,4, and 5) Environmental Incidents</t>
  </si>
  <si>
    <t>SASB EM-MM-140a.2.¹ Number of incidents of non-compliance associated with water quality permits, standards, and regulations</t>
  </si>
  <si>
    <t xml:space="preserve">GRI 307-1 Environmental Non Compliance with Environmental Laws and Regulations </t>
  </si>
  <si>
    <t>Gold Fields have updated and calibrated their compliance related disclosures for the 2022 reporting period (for the period 2019 to 2022) as presented below. These disclosures have been improved to:</t>
  </si>
  <si>
    <t>* report on environmental findings only i.e. more granular than companywide, minewide or sustainable development disclosures. We do not separate water related findings from environmental findings</t>
  </si>
  <si>
    <t>* include environmental violations with findings for disclosure purposes. Findings and violations do not result in a fine and do not necessarily represent a legal or regulatory non-conformance.</t>
  </si>
  <si>
    <t xml:space="preserve">* differentiate clearly between findings (or violations) and fines, penalties and sanctions </t>
  </si>
  <si>
    <t>* disclose fines, penalties and sanctions as settled i.e. net of reduced or revoked fines. This is disclosed in US$.</t>
  </si>
  <si>
    <t>* disclose accruals for potential or appealed fines, penalties or sanctions</t>
  </si>
  <si>
    <t xml:space="preserve">Our disclosures do not apply a materiality or financial threshold for fines, penalties or sanctions. </t>
  </si>
  <si>
    <r>
      <rPr>
        <b/>
        <sz val="9"/>
        <color rgb="FFFFFFFF"/>
        <rFont val="Arial"/>
        <family val="2"/>
      </rPr>
      <t xml:space="preserve">Number of Environmental Findings or  Fines </t>
    </r>
    <r>
      <rPr>
        <b/>
        <vertAlign val="superscript"/>
        <sz val="9"/>
        <color rgb="FFFFFFFF"/>
        <rFont val="Arial"/>
        <family val="2"/>
      </rPr>
      <t>1</t>
    </r>
  </si>
  <si>
    <r>
      <rPr>
        <sz val="9"/>
        <color rgb="FF000000"/>
        <rFont val="Arial"/>
        <family val="2"/>
      </rPr>
      <t xml:space="preserve">Number of Environmental Findings or Violations </t>
    </r>
    <r>
      <rPr>
        <vertAlign val="superscript"/>
        <sz val="9"/>
        <color rgb="FF000000"/>
        <rFont val="Arial"/>
        <family val="2"/>
      </rPr>
      <t>2,3</t>
    </r>
  </si>
  <si>
    <r>
      <rPr>
        <sz val="9"/>
        <color rgb="FF000000"/>
        <rFont val="Arial"/>
        <family val="2"/>
      </rPr>
      <t xml:space="preserve">Number of Fines / Penalties/ Sanctions </t>
    </r>
    <r>
      <rPr>
        <vertAlign val="superscript"/>
        <sz val="9"/>
        <color rgb="FF000000"/>
        <rFont val="Arial"/>
        <family val="2"/>
      </rPr>
      <t>3</t>
    </r>
  </si>
  <si>
    <t>Value of Fines / Penalties/ Sanctions (US$)</t>
  </si>
  <si>
    <t>Value of accruals for potential Fines / Penalties/ Sanctions</t>
  </si>
  <si>
    <r>
      <rPr>
        <sz val="8"/>
        <color rgb="FF000000"/>
        <rFont val="Calibri"/>
        <family val="2"/>
      </rPr>
      <t>¹</t>
    </r>
    <r>
      <rPr>
        <sz val="8"/>
        <color rgb="FF000000"/>
        <rFont val="Arial"/>
        <family val="2"/>
      </rPr>
      <t xml:space="preserve">Gold Fields report all environmental findings, violations, fines, penalties or sanctions and do not apply a materiality or financial threshold for disclosure purposes 
</t>
    </r>
    <r>
      <rPr>
        <sz val="8"/>
        <color rgb="FF000000"/>
        <rFont val="Calibri"/>
        <family val="2"/>
      </rPr>
      <t>²</t>
    </r>
    <r>
      <rPr>
        <sz val="8"/>
        <color rgb="FF000000"/>
        <rFont val="Arial"/>
        <family val="2"/>
      </rPr>
      <t xml:space="preserve">In accordance with Gold Fields compliance classifications, these environmental findings or violations do not result in a fine and do not necessarily represent a legal or regulatory non-conformance. 
</t>
    </r>
    <r>
      <rPr>
        <sz val="8"/>
        <color rgb="FF000000"/>
        <rFont val="Calibri"/>
        <family val="2"/>
      </rPr>
      <t>³</t>
    </r>
    <r>
      <rPr>
        <sz val="8"/>
        <color rgb="FF000000"/>
        <rFont val="Arial"/>
        <family val="2"/>
      </rPr>
      <t xml:space="preserve">Gold Fields do not currently report or separate water or other types of environmental related findings, violations, fines penalties or sanctions </t>
    </r>
  </si>
  <si>
    <t>Tailings Management and Waste Rock (mineralised waste), and Waste (Hazardous, Non-hazardous, Recycled) Management</t>
  </si>
  <si>
    <r>
      <rPr>
        <b/>
        <sz val="9"/>
        <color rgb="FFFFFFFF"/>
        <rFont val="Arial"/>
        <family val="2"/>
      </rPr>
      <t xml:space="preserve">SASB EM-MM-150a.1. Total weight of tailings waste, percentage recycled </t>
    </r>
    <r>
      <rPr>
        <b/>
        <sz val="11"/>
        <color rgb="FFFFFFFF"/>
        <rFont val="Calibri"/>
        <family val="2"/>
      </rPr>
      <t>¹</t>
    </r>
  </si>
  <si>
    <t>Total weight of tailings produced**</t>
  </si>
  <si>
    <t>Total weight of waste rock generated**</t>
  </si>
  <si>
    <t>GRI 306- 2 Total weight of waste by type and disposal method</t>
  </si>
  <si>
    <t>Group mineral waste (million tonnes)</t>
  </si>
  <si>
    <t>A: Tailings</t>
  </si>
  <si>
    <t>B: Waste rock</t>
  </si>
  <si>
    <t>C: Mineral waste repurposed/reused Tailings¹</t>
  </si>
  <si>
    <t>C: Mineral waste repurposed/reused Waste Rock¹</t>
  </si>
  <si>
    <t>Total weight of tailings waste, percentage recycled¹</t>
  </si>
  <si>
    <t>Total Mineral Waste Disposed (A+B-C)</t>
  </si>
  <si>
    <r>
      <rPr>
        <sz val="8"/>
        <color rgb="FF000000"/>
        <rFont val="Calibri"/>
        <family val="2"/>
      </rPr>
      <t>¹</t>
    </r>
    <r>
      <rPr>
        <sz val="8"/>
        <color rgb="FF000000"/>
        <rFont val="Arial"/>
        <family val="2"/>
      </rPr>
      <t>Gold Fields do recycle tailings waste material in the production of 'paste' material uitilised 'mined out' underground areas, for additonal stability and support purposes. Gold Fields currently do not disclose repurposed/recycled weight.</t>
    </r>
  </si>
  <si>
    <t xml:space="preserve">SASB EM-MM-150a.3 Number of tailings impoundments, broken down by MSHA hazard potential </t>
  </si>
  <si>
    <t>Gold Fields does not classify tailings according to the US Mine Safety and Health Administration (MSHA) hazard potential classification. Gold Fields uses guidance applicable in the jurisdictions in which we operate, which  include ANCOLD 1999, ANCOLD 2012 (Australia, Peru and South Africa), LI 2182 (Ghana), and Ghana Minerals and Mining Law 1986 and Guidelines on Ghana's Mining Environmental Regulations, Final Draft 1994. Hazardous categorisation of facilities are based on consequence of failure e.g. N/A (e.g. in-pit tailings storage), ‘High B’, Class C, Low, Moderate, Serious, Extreme, etc. Full disclosure, and detailed, information for each tailings storage facility is provided at https://www.goldfields.com/pdf/media/media-release/gold-fields-tsf-document-june-2019-new.pdf</t>
  </si>
  <si>
    <r>
      <rPr>
        <b/>
        <sz val="9"/>
        <color rgb="FFFFFFFF"/>
        <rFont val="Arial"/>
        <family val="2"/>
      </rPr>
      <t>Number of significant incidents associated with hazardous materials and waste management</t>
    </r>
    <r>
      <rPr>
        <b/>
        <sz val="9"/>
        <color rgb="FFFFFFFF"/>
        <rFont val="Calibri"/>
        <family val="2"/>
      </rPr>
      <t>**</t>
    </r>
  </si>
  <si>
    <t>2018¹</t>
  </si>
  <si>
    <t>Group Total Serious Environmental Incidents</t>
  </si>
  <si>
    <t xml:space="preserve">¹ 2018 Level 3 environmental incidents were related to tailings material </t>
  </si>
  <si>
    <t xml:space="preserve">Description of waste and hazardous materials management policies and procedures for active and inactive operations**
</t>
  </si>
  <si>
    <t>Refer to Management Approach on website - lhttps://www.goldfields.com/environment-waste.php</t>
  </si>
  <si>
    <t>Tailings storage facilities inventory table**</t>
  </si>
  <si>
    <t>Refer to https://www.goldfields.com/tsf-map/index.html and https://www.goldfields.com/pdf/media/media-release/gold-fields-tsf-document-june-2019-new.pdf</t>
  </si>
  <si>
    <t>Summary of tailings management systems and governance structure used to monitor and maintain stability of tailings storage facilities**</t>
  </si>
  <si>
    <t>https://www.goldfields.com/governance-standards-and-guidelines.php and https://www.goldfields.com/environment-tsf.php</t>
  </si>
  <si>
    <t>Approach to development of Emergency Preparedness and Response Plans (EPRPs) for tailings storage facilities**</t>
  </si>
  <si>
    <t>https://www.goldfields.com/emergency-response-planning.php</t>
  </si>
  <si>
    <t>Total weight of non-mineralised waste generated **</t>
  </si>
  <si>
    <r>
      <rPr>
        <b/>
        <sz val="9"/>
        <color rgb="FFFFFFFF"/>
        <rFont val="Arial"/>
        <family val="2"/>
      </rPr>
      <t>SASB EM-MM-150a.2. Total weight of (non-mineralised) processing waste</t>
    </r>
    <r>
      <rPr>
        <b/>
        <sz val="9"/>
        <color rgb="FFFFFFFF"/>
        <rFont val="Calibri"/>
        <family val="2"/>
      </rPr>
      <t>²</t>
    </r>
    <r>
      <rPr>
        <b/>
        <sz val="9"/>
        <color rgb="FFFFFFFF"/>
        <rFont val="Arial"/>
        <family val="2"/>
      </rPr>
      <t>, percentage recycled</t>
    </r>
  </si>
  <si>
    <t xml:space="preserve">² Gold Fields do not produce slags, excludes waste rock material </t>
  </si>
  <si>
    <t>NON - HAZARDOUS</t>
  </si>
  <si>
    <t>Group Waste (kt ) Recycled/Reused = Waste diverted from disposal</t>
  </si>
  <si>
    <t>Group Total Non-Hazardous Waste Recycled</t>
  </si>
  <si>
    <t>Metal recycled (non-hazardous)</t>
  </si>
  <si>
    <t>Plastic Recycled (non-hazardous)</t>
  </si>
  <si>
    <t>Timber as firewood (non-hazardous)</t>
  </si>
  <si>
    <t>Paper and Carton recycled (non-hazardous)</t>
  </si>
  <si>
    <t xml:space="preserve">Group Total </t>
  </si>
  <si>
    <t xml:space="preserve">Operations  Non-Hazardous Waste - on or off site disposal (kt) </t>
  </si>
  <si>
    <t xml:space="preserve"> Group Non-Hazardous Waste - on or off site disposal (kt) = Directed to Disposal</t>
  </si>
  <si>
    <t xml:space="preserve">General landfill </t>
  </si>
  <si>
    <t xml:space="preserve">Granny Smith </t>
  </si>
  <si>
    <t>Waste incincerated with energy recovery</t>
  </si>
  <si>
    <t>Waste incincerated without energy recovery</t>
  </si>
  <si>
    <t>Waste otherwise disposed</t>
  </si>
  <si>
    <t>Waste with unknown disposal method</t>
  </si>
  <si>
    <t>HAZARDOUS</t>
  </si>
  <si>
    <t>Group Total Hazardous Waste Recycled = Waste diverted from disposal</t>
  </si>
  <si>
    <t xml:space="preserve">** In preparation for reporting against the revised Industry Standard Version 2021-12, we have included additional Waste and Tailings Management KPI's that are, in some instances, aligned with other reporting frameworks </t>
  </si>
  <si>
    <t xml:space="preserve">Hydrocarbons (oil, grease) (hazardous) </t>
  </si>
  <si>
    <t xml:space="preserve">Other recycled (e.g. batteries, fluorescent lights , chemicals) (hazardous) </t>
  </si>
  <si>
    <t xml:space="preserve"> Group Hazardous Waste - on or off site disposal (kt)  = Directed to Disposal</t>
  </si>
  <si>
    <t>Operations  Hazardous Waste -  on or off site disposal (kt)</t>
  </si>
  <si>
    <t>Hydrocarbons (oil,grease,emulsions,HC contaminated matter)</t>
  </si>
  <si>
    <t>Chemicals (packaging / expired / solvents / other)</t>
  </si>
  <si>
    <t>Batteries</t>
  </si>
  <si>
    <t>Other (BrineToLandfill,ConOilContainer,packaging,sewage)</t>
  </si>
  <si>
    <t>Brine Precipitate</t>
  </si>
  <si>
    <t>Waste incinerated with energy recovery (medical)</t>
  </si>
  <si>
    <t>Group Total Waste Recycled/Reused (kt)</t>
  </si>
  <si>
    <t>Total Waste (Non-Hazardous and Hazardous) Generated (kt)</t>
  </si>
  <si>
    <t xml:space="preserve">Waste Recycled / Reused (kt) as a % of Waste Generated </t>
  </si>
  <si>
    <t xml:space="preserve">Biodiversity Conservation and Land Management </t>
  </si>
  <si>
    <t xml:space="preserve">SASB EM-MM-160a.3. Percentage of (1) proved* and (2) probable* reserves in or near sites with protected conservation status or endangered species habitat </t>
  </si>
  <si>
    <t>GRI 304-1</t>
  </si>
  <si>
    <t>GRI 304-3</t>
  </si>
  <si>
    <t>GRI 304-4</t>
  </si>
  <si>
    <t>GRI MM1²</t>
  </si>
  <si>
    <t xml:space="preserve">Operation </t>
  </si>
  <si>
    <t>Operational sites owned, leased, managed in, or adjacent to, protected areas and areas of high biodiversity value outside protected areas</t>
  </si>
  <si>
    <t>Proximity to or overlap with Legally Protected areas incl exploration</t>
  </si>
  <si>
    <t>Proximity to or overlap with World Heritage sites</t>
  </si>
  <si>
    <t>Habitats protected or restored (ha)</t>
  </si>
  <si>
    <t>Number of IUCN Red List species and national conservation list species with habitats in areas affected by operations, by level of extinction risk</t>
  </si>
  <si>
    <t xml:space="preserve">Amount of land (owned or leased, and managed for production activities or extractive use) disturbed or rehabilitated </t>
  </si>
  <si>
    <t>2023 (ha)</t>
  </si>
  <si>
    <t>2022 (ha)</t>
  </si>
  <si>
    <t>2021(ha)</t>
  </si>
  <si>
    <t>2020(ha)</t>
  </si>
  <si>
    <t>2019 (ha)</t>
  </si>
  <si>
    <t>2018 (ha)</t>
  </si>
  <si>
    <t xml:space="preserve">South Deep ⁴ 
</t>
  </si>
  <si>
    <r>
      <rPr>
        <sz val="9"/>
        <color rgb="FF242424"/>
        <rFont val="Arial"/>
        <family val="2"/>
      </rPr>
      <t>South Deep</t>
    </r>
    <r>
      <rPr>
        <sz val="9"/>
        <color rgb="FF242424"/>
        <rFont val="Calibri"/>
        <family val="2"/>
      </rPr>
      <t>⁴</t>
    </r>
  </si>
  <si>
    <t>11¹</t>
  </si>
  <si>
    <t>1953³</t>
  </si>
  <si>
    <t>* Gold Fields have not attributed these KPIs to proved and probable reserves and only report on the biodiversity reserves in or near sites with protected conservation status or endangered species habitat or similar.</t>
  </si>
  <si>
    <t>¹ Species of local significance, interest or concern, but not IUCN red list species.</t>
  </si>
  <si>
    <t xml:space="preserve">² Gold Fields have revised and optimised their Biodiversity Management Key Performance Indicators and report against those that are material with emphasis on KPI's material to local stakeholders; and for internal and operational use and management. </t>
  </si>
  <si>
    <t>³ Restated from 2018. Data aligned with Australian MRF submissions.</t>
  </si>
  <si>
    <t xml:space="preserve">⁴ South Deep use 719 ha for mining related activities 
</t>
  </si>
  <si>
    <t>GRI MM2</t>
  </si>
  <si>
    <t>Number of Operations  identified as requiring biodiversity management plans according to stated criteria, and the number (percentage) of those sites with plans in place</t>
  </si>
  <si>
    <t>Number of Managed Operations</t>
  </si>
  <si>
    <t xml:space="preserve">Number of Operations  assessed to determine if require biodiversity management plans </t>
  </si>
  <si>
    <t xml:space="preserve">Number of Operations  identified as requiring biodiversity management plans </t>
  </si>
  <si>
    <t>Number of Operations  identified as requiring biodiversity management plans  WITH plans in place</t>
  </si>
  <si>
    <t>* Tarkwa have a Biodiversity Management Plan, although it is not required in line with Goldfield's Biodiversity Guideline requirements</t>
  </si>
  <si>
    <t>MM: Include impacts identified as a consequence of any resettlement and closure activities reported under Indicators MM9 and MM10 respectively – not applicable to Gold Fields during 2023.</t>
  </si>
  <si>
    <t>SASB EM-MM-160a.2. Percentage of mine sites where acid rock drainage (ARD) is: (1) predicted to occur, (2) actively mitigated, and (3) under treatment or remediation</t>
  </si>
  <si>
    <t>ARD Potential / Risk</t>
  </si>
  <si>
    <t>Yes</t>
  </si>
  <si>
    <t>No</t>
  </si>
  <si>
    <t xml:space="preserve">2 sites </t>
  </si>
  <si>
    <t xml:space="preserve">Total % of mine sites = 25%
 (2 of 8 sites) </t>
  </si>
  <si>
    <t>Geochemically Reactive Material at Gold Fields</t>
  </si>
  <si>
    <t xml:space="preserve">Gold Fields has identified incidences of AD, and the risk of potential short-term and long-term AD issues, specifically at its Cerro Corona, South Deep and St Ives mines. Gold Fields commissioned technical studies at Cerro Corona, starting in 2015, to investigate technical solutions, to better inform appropriate short- and long-term mitigation strategies for AD management and to work towards a reasonable cost estimate of potential issues. While progress has been made in addressing potential long-term AD risks, Gold Fields is not able to generate a reliable estimate of the total potential impact on the Group. South Deep has concluded technical studies related to long-term closure risk, which have indicated that, subject to the implementation of targeted mitigation measures and no regional hydrogeological changes, AD generation will be mitigated and/or contained, thus resulting in no potential residual environmental risk. South Deep continues to implement required mitigation measures to prevent AD. Due to the inherent uncertainty on the outcome of the cessation of dewatering of Cooke 4 (Ezulwini) over which South Deep does not have control, together with the application made by Rand Uranium (a subsidiary of Sibanye Stillwater) for the closure of Cooke 3, 2 and 1 shafts, which would result in the rewatering of these shafts, along with other possible hydrogeological influences unrelated to South Deep in the future, the post closure water liability continues to be a contingent liability. St Ives has initiated technical investigations into potential AD generation, identified as part of progressive rehabilitation activities, at the Cave Rocks landform and open pit This risk is negliglible. </t>
  </si>
  <si>
    <t>Supporting Notes:</t>
  </si>
  <si>
    <t>Gold Fields has a 45% share in Asanko Gold Mine. Gold Fields does not operate Asanko. Asanko has an up-to-date mine closure plan.</t>
  </si>
  <si>
    <t>Salares Norte is a Project, commissioning is due March 2024.</t>
  </si>
  <si>
    <t>Integrated Mine Closure</t>
  </si>
  <si>
    <t>Number of Managed Operations:</t>
  </si>
  <si>
    <t>MM10  Number of Operations with Up-to-date Mine Closure Plans:</t>
  </si>
  <si>
    <t>Operations with Updated Mine Closure Plans:</t>
  </si>
  <si>
    <t xml:space="preserve">Percentage of Closure Plans (against operations) </t>
  </si>
  <si>
    <t>Note: Gold Fields has a 45% share in Asanko Gold Mine. Gold Fields does not operate Asanko. Asanko has an up-to-date mine closure plan.</t>
  </si>
  <si>
    <t>Closure Cost Liability Estimate</t>
  </si>
  <si>
    <t>Group closure cost liability estimate 2023 (US$m)</t>
  </si>
  <si>
    <t>Australia region¹</t>
  </si>
  <si>
    <t>South Africa region</t>
  </si>
  <si>
    <t>42  </t>
  </si>
  <si>
    <t>West Africa region</t>
  </si>
  <si>
    <t>100  </t>
  </si>
  <si>
    <r>
      <rPr>
        <sz val="9"/>
        <color rgb="FF000000"/>
        <rFont val="Arial"/>
        <family val="2"/>
      </rPr>
      <t>Americas region</t>
    </r>
    <r>
      <rPr>
        <sz val="9"/>
        <color rgb="FF000000"/>
        <rFont val="Calibri"/>
        <family val="2"/>
      </rPr>
      <t>²</t>
    </r>
  </si>
  <si>
    <t>79  </t>
  </si>
  <si>
    <t>Group total</t>
  </si>
  <si>
    <t>400  </t>
  </si>
  <si>
    <r>
      <rPr>
        <vertAlign val="superscript"/>
        <sz val="8"/>
        <color rgb="FF000000"/>
        <rFont val="Calibri"/>
        <family val="2"/>
      </rPr>
      <t>¹</t>
    </r>
    <r>
      <rPr>
        <vertAlign val="superscript"/>
        <sz val="8"/>
        <color rgb="FF000000"/>
        <rFont val="Arial"/>
        <family val="2"/>
      </rPr>
      <t xml:space="preserve"> </t>
    </r>
    <r>
      <rPr>
        <sz val="8"/>
        <color rgb="FF000000"/>
        <rFont val="Arial"/>
        <family val="2"/>
      </rPr>
      <t>Includes 50% of the total Gruyere closure cost estimate</t>
    </r>
  </si>
  <si>
    <r>
      <rPr>
        <vertAlign val="superscript"/>
        <sz val="8"/>
        <color rgb="FF000000"/>
        <rFont val="Calibri"/>
        <family val="2"/>
      </rPr>
      <t>²</t>
    </r>
    <r>
      <rPr>
        <sz val="8"/>
        <color rgb="FF000000"/>
        <rFont val="Arial"/>
        <family val="2"/>
      </rPr>
      <t>Includes Salares Norte closure cost estimate</t>
    </r>
  </si>
  <si>
    <t xml:space="preserve">Closure Liability: Financial Provision </t>
  </si>
  <si>
    <t>Summary of Financial Provision Methods</t>
  </si>
  <si>
    <t>Provision Method</t>
  </si>
  <si>
    <t>Australia Region</t>
  </si>
  <si>
    <t>Existing operating cash and resources and restricted funds set aside (US$29m was set aside for 2023)</t>
  </si>
  <si>
    <t xml:space="preserve">South Africa Region </t>
  </si>
  <si>
    <t>Contributions to environmental trust funds and guarantees ensuring that the life-of�mine closure liability will be fully funded. We set aside an additional US$1m in 2023</t>
  </si>
  <si>
    <t xml:space="preserve">West Africa Region </t>
  </si>
  <si>
    <t xml:space="preserve">Reclamation security agreements and bonds underwritten by banks, as well as continued restricted funds set aside. We set aside an additional US$11m in 2023 </t>
  </si>
  <si>
    <t xml:space="preserve">Americas Region (Peru) </t>
  </si>
  <si>
    <t>Bank guarantees and restricted funds set aside (US$10m was set aside for 2023)</t>
  </si>
  <si>
    <t xml:space="preserve">Progressive Rehabilitation </t>
  </si>
  <si>
    <t>Implementation of 2023 Progressive Rehabilitation Plans</t>
  </si>
  <si>
    <t xml:space="preserve">Region </t>
  </si>
  <si>
    <t>Target Completion against Plan</t>
  </si>
  <si>
    <t xml:space="preserve">Actual Completion against Plan </t>
  </si>
  <si>
    <t>Group Total *</t>
  </si>
  <si>
    <t>* Group performance is calculated using operational, not regional, scores. US$ 15m spent directly on progressive rehabilitation in 2023.</t>
  </si>
  <si>
    <t>SASB EM-MM-320a.1.</t>
  </si>
  <si>
    <t>GRI 403-9 Work Related Injuries</t>
  </si>
  <si>
    <t>(New methodology)*</t>
  </si>
  <si>
    <t>Current</t>
  </si>
  <si>
    <t>Group Safety Performance</t>
  </si>
  <si>
    <t>Fatalities ¹</t>
  </si>
  <si>
    <t>Fatalities Employees</t>
  </si>
  <si>
    <t>Fatalities Contractors</t>
  </si>
  <si>
    <t>Fatality Rate</t>
  </si>
  <si>
    <t>Fatality Rate Employees</t>
  </si>
  <si>
    <t>Fatality Rate Contractors</t>
  </si>
  <si>
    <r>
      <rPr>
        <b/>
        <sz val="9"/>
        <color rgb="FF000000"/>
        <rFont val="Arial"/>
        <family val="2"/>
      </rPr>
      <t>Lost Time Injuries</t>
    </r>
    <r>
      <rPr>
        <b/>
        <sz val="9"/>
        <color rgb="FF000000"/>
        <rFont val="Calibri"/>
        <family val="2"/>
      </rPr>
      <t>²</t>
    </r>
  </si>
  <si>
    <t xml:space="preserve">n/a </t>
  </si>
  <si>
    <t>Contractors</t>
  </si>
  <si>
    <r>
      <rPr>
        <b/>
        <sz val="9"/>
        <color rgb="FF000000"/>
        <rFont val="Arial"/>
        <family val="2"/>
      </rPr>
      <t>Lost Time Injury Frequency Rate (LTIFR</t>
    </r>
    <r>
      <rPr>
        <b/>
        <sz val="9"/>
        <color rgb="FF000000"/>
        <rFont val="Calibri"/>
        <family val="2"/>
      </rPr>
      <t>³</t>
    </r>
    <r>
      <rPr>
        <b/>
        <sz val="9"/>
        <color rgb="FF000000"/>
        <rFont val="Arial"/>
        <family val="2"/>
      </rPr>
      <t>)</t>
    </r>
  </si>
  <si>
    <t>Employee LTIFR</t>
  </si>
  <si>
    <t>Contractor LTIFR</t>
  </si>
  <si>
    <t>Total Recordable Injuries</t>
  </si>
  <si>
    <r>
      <rPr>
        <b/>
        <sz val="9"/>
        <color rgb="FF000000"/>
        <rFont val="Arial"/>
        <family val="2"/>
      </rPr>
      <t>TRIFR</t>
    </r>
    <r>
      <rPr>
        <b/>
        <sz val="9"/>
        <color rgb="FF000000"/>
        <rFont val="Calibri"/>
        <family val="2"/>
      </rPr>
      <t>⁴</t>
    </r>
  </si>
  <si>
    <t>Employee TRIFR</t>
  </si>
  <si>
    <t>Contractor TRIFR</t>
  </si>
  <si>
    <r>
      <rPr>
        <sz val="9"/>
        <color rgb="FF000000"/>
        <rFont val="Arial"/>
        <family val="2"/>
      </rPr>
      <t>Serious Injuries</t>
    </r>
    <r>
      <rPr>
        <sz val="9"/>
        <color rgb="FF000000"/>
        <rFont val="Calibri"/>
        <family val="2"/>
      </rPr>
      <t>⁵</t>
    </r>
  </si>
  <si>
    <t>Severity rate</t>
  </si>
  <si>
    <r>
      <rPr>
        <sz val="9"/>
        <color rgb="FF000000"/>
        <rFont val="Arial"/>
        <family val="2"/>
      </rPr>
      <t>Duration rate</t>
    </r>
    <r>
      <rPr>
        <sz val="9"/>
        <color rgb="FF000000"/>
        <rFont val="Calibri"/>
        <family val="2"/>
      </rPr>
      <t>⁶</t>
    </r>
  </si>
  <si>
    <r>
      <rPr>
        <sz val="9"/>
        <color rgb="FF000000"/>
        <rFont val="Arial"/>
        <family val="2"/>
      </rPr>
      <t>Near Misses</t>
    </r>
    <r>
      <rPr>
        <sz val="9"/>
        <color rgb="FF000000"/>
        <rFont val="Calibri"/>
        <family val="2"/>
      </rPr>
      <t>⁸</t>
    </r>
  </si>
  <si>
    <t>Near Miss Frequency Rate (NMFR)</t>
  </si>
  <si>
    <t>Serious Potential incidents (SPI)</t>
  </si>
  <si>
    <t xml:space="preserve">% Timely close out on Serious Potential Incidents (SPI's) </t>
  </si>
  <si>
    <t>Safety Engagement rate (SER)⁷</t>
  </si>
  <si>
    <t>Hours worked</t>
  </si>
  <si>
    <t>Employees hours worked</t>
  </si>
  <si>
    <t xml:space="preserve">Contractors hours worked </t>
  </si>
  <si>
    <t>¹ In both 2017 and 2018 we also recorded non-occupational fatalities at our mines. In 2017, a member of the protection services team at South Deep was shot and killed during a robbery at the mine, while in 2018 a member of Tarkwa’s Community Security Task Force drowned in a settling pond on the mine</t>
  </si>
  <si>
    <r>
      <rPr>
        <i/>
        <sz val="8"/>
        <color rgb="FF000000"/>
        <rFont val="Calibri"/>
        <family val="2"/>
      </rPr>
      <t>²</t>
    </r>
    <r>
      <rPr>
        <i/>
        <sz val="8"/>
        <color rgb="FF000000"/>
        <rFont val="Calibri"/>
        <family val="2"/>
      </rPr>
      <t xml:space="preserve"> </t>
    </r>
    <r>
      <rPr>
        <i/>
        <sz val="8"/>
        <color rgb="FF000000"/>
        <rFont val="Arial"/>
        <family val="2"/>
      </rPr>
      <t>A LTI is a work-related injury resulting in the employee or contractor being unable to attend work for a period of one or more days after the day of the injury. The employee or contractor is unable to perform any of his/her duties. Numbers exclude injuries at our projects</t>
    </r>
  </si>
  <si>
    <r>
      <rPr>
        <i/>
        <sz val="8"/>
        <color rgb="FF000000"/>
        <rFont val="Calibri"/>
        <family val="2"/>
      </rPr>
      <t>³</t>
    </r>
    <r>
      <rPr>
        <i/>
        <sz val="8"/>
        <color rgb="FF000000"/>
        <rFont val="Calibri"/>
        <family val="2"/>
      </rPr>
      <t xml:space="preserve"> </t>
    </r>
    <r>
      <rPr>
        <i/>
        <sz val="8"/>
        <color rgb="FF000000"/>
        <rFont val="Arial"/>
        <family val="2"/>
      </rPr>
      <t>LTIFR = (LTI's x 1,000,000/number of hours worked). Numbers exclude injuries at our projects</t>
    </r>
  </si>
  <si>
    <r>
      <rPr>
        <i/>
        <sz val="8"/>
        <color rgb="FF000000"/>
        <rFont val="Calibri"/>
        <family val="2"/>
      </rPr>
      <t>⁴</t>
    </r>
    <r>
      <rPr>
        <i/>
        <sz val="8"/>
        <color rgb="FF000000"/>
        <rFont val="Calibri"/>
        <family val="2"/>
      </rPr>
      <t xml:space="preserve"> </t>
    </r>
    <r>
      <rPr>
        <i/>
        <sz val="8"/>
        <color rgb="FF000000"/>
        <rFont val="Arial"/>
        <family val="2"/>
      </rPr>
      <t>TRIFR = (fatalities + LTIs + restricted work injuries + medically treated injuries) x 1,000,000/number of hours worked. Numbers exclude injuries at our projects</t>
    </r>
  </si>
  <si>
    <r>
      <rPr>
        <i/>
        <sz val="8"/>
        <color rgb="FF000000"/>
        <rFont val="Calibri"/>
        <family val="2"/>
      </rPr>
      <t>⁵</t>
    </r>
    <r>
      <rPr>
        <i/>
        <sz val="8"/>
        <color rgb="FF000000"/>
        <rFont val="Calibri"/>
        <family val="2"/>
      </rPr>
      <t xml:space="preserve"> </t>
    </r>
    <r>
      <rPr>
        <i/>
        <sz val="8"/>
        <color rgb="FF000000"/>
        <rFont val="Arial"/>
        <family val="2"/>
      </rPr>
      <t xml:space="preserve">A serious injury is an injury that incurs 14 or more days lost and results in:
</t>
    </r>
    <r>
      <rPr>
        <i/>
        <sz val="8"/>
        <color rgb="FF000000"/>
        <rFont val="Arial"/>
        <family val="2"/>
      </rPr>
      <t xml:space="preserve">– A fracture of any bone (excluding hairline fractures and fractures of fingers, toes or nose)
</t>
    </r>
    <r>
      <rPr>
        <i/>
        <sz val="8"/>
        <color rgb="FF000000"/>
        <rFont val="Arial"/>
        <family val="2"/>
      </rPr>
      <t xml:space="preserve">– Internal haemorrhage
</t>
    </r>
    <r>
      <rPr>
        <i/>
        <sz val="8"/>
        <color rgb="FF000000"/>
        <rFont val="Arial"/>
        <family val="2"/>
      </rPr>
      <t xml:space="preserve">– Head trauma (including concussion, loss of consciousness) requiring hospitalisation
</t>
    </r>
    <r>
      <rPr>
        <i/>
        <sz val="8"/>
        <color rgb="FF000000"/>
        <rFont val="Arial"/>
        <family val="2"/>
      </rPr>
      <t xml:space="preserve">– Loss of all or part of a limb (excluding bone dressing to facilitate medical treatment of injured fingers and toes)
</t>
    </r>
    <r>
      <rPr>
        <i/>
        <sz val="8"/>
        <color rgb="FF000000"/>
        <rFont val="Arial"/>
        <family val="2"/>
      </rPr>
      <t xml:space="preserve">– Permanent loss of function and/or permanent disability such as hearing loss or damage to lung function
</t>
    </r>
    <r>
      <rPr>
        <i/>
        <sz val="8"/>
        <color rgb="FF000000"/>
        <rFont val="Arial"/>
        <family val="2"/>
      </rPr>
      <t xml:space="preserve">– Permanent disfigurement where the injury has resulted in the appearance of a person being deeply and persistently harmed medically and that is likely to lead to psychosocial problems
</t>
    </r>
    <r>
      <rPr>
        <i/>
        <sz val="8"/>
        <color rgb="FF000000"/>
        <rFont val="Arial"/>
        <family val="2"/>
      </rPr>
      <t xml:space="preserve">Numbers exclude injuries at our projects
</t>
    </r>
    <r>
      <rPr>
        <i/>
        <sz val="8"/>
        <color rgb="FF000000"/>
        <rFont val="Arial"/>
        <family val="2"/>
      </rPr>
      <t>Since 2019, we have applied Gold Fields' definition in classifying serious injuries. In terms of this definition, a serious injury is one that incurs 14 days or more of work lost and results in one of a range of injuries.</t>
    </r>
  </si>
  <si>
    <r>
      <rPr>
        <i/>
        <sz val="8"/>
        <color rgb="FF000000"/>
        <rFont val="Arial"/>
        <family val="2"/>
      </rPr>
      <t>⁶</t>
    </r>
    <r>
      <rPr>
        <i/>
        <sz val="8"/>
        <color rgb="FF000000"/>
        <rFont val="Arial"/>
        <family val="2"/>
      </rPr>
      <t xml:space="preserve"> Duration rate = days lost to LTIs/number of LTIs. Numbers exclude injuries at our projects</t>
    </r>
  </si>
  <si>
    <t>⁷ SER = safety engagements x 1,000/number of hours worked. Safety engagements are conversations between managers and the workforce to improve safety. Reporting of the SER commenced in 2017. Numbers exclude engagements at our projects</t>
  </si>
  <si>
    <r>
      <rPr>
        <i/>
        <sz val="8"/>
        <color rgb="FF000000"/>
        <rFont val="Calibri"/>
        <family val="2"/>
      </rPr>
      <t>⁸</t>
    </r>
    <r>
      <rPr>
        <i/>
        <sz val="8"/>
        <color rgb="FF000000"/>
        <rFont val="Arial"/>
        <family val="2"/>
      </rPr>
      <t xml:space="preserve"> Near misses increased three-fold due to concerted reporting efforts at South Deep.</t>
    </r>
  </si>
  <si>
    <t xml:space="preserve">*Gold Fields standardised their method for measuring 'hours worked' at South Deep, departing from a formula to actual hours. This change affects the frequency rate calculations. Standardising the methodology does not change the improvement in TRFIR (or LTIFR) performance over the last 5 years, but rather resets the number . The table above shows 2023 data for both methodologies. </t>
  </si>
  <si>
    <t>GRI 403-10 Work Related Ill Health</t>
  </si>
  <si>
    <t>Total Recordable disease frequency rate ("TRDFR")</t>
  </si>
  <si>
    <t>TRD</t>
  </si>
  <si>
    <t xml:space="preserve">TRDFR </t>
  </si>
  <si>
    <t>Gold Fields TRDFR (per manhours worked) is based on number of Silicosis, NIHL, COAD and CRTB cases as these diseases are deemed material and are externally assured.</t>
  </si>
  <si>
    <t>All cases were male, aside from two CRTB female cases in South Africa.</t>
  </si>
  <si>
    <t>Total Occupational disease frequency rate ("TODFR")</t>
  </si>
  <si>
    <t>COAD¹</t>
  </si>
  <si>
    <t>TOTAL</t>
  </si>
  <si>
    <t>NIHL²</t>
  </si>
  <si>
    <t>Silicosis</t>
  </si>
  <si>
    <t>CRTBᶟ</t>
  </si>
  <si>
    <t>Occupational diseases at South Deep (rate per 1,000 employees and contractors at year-end)</t>
  </si>
  <si>
    <t>CRTB³</t>
  </si>
  <si>
    <t>South Deep workforce</t>
  </si>
  <si>
    <t>¹ Chronic obstructive airways disease</t>
  </si>
  <si>
    <t>² Noise Induced hearing loss</t>
  </si>
  <si>
    <t>ᶟ Cardio-respiratory tuberculosis</t>
  </si>
  <si>
    <t>Workforce</t>
  </si>
  <si>
    <t>SASB EM-MM-000.B</t>
  </si>
  <si>
    <t xml:space="preserve"> GRI 2-8 Total workforce C2023</t>
  </si>
  <si>
    <t>C2023</t>
  </si>
  <si>
    <t>Total Workforce</t>
  </si>
  <si>
    <t>Permanent ¹Employees  (incl. Fixed term/Casual employees)</t>
  </si>
  <si>
    <t>Of which ²Host Community Workforce</t>
  </si>
  <si>
    <t>Of which Host Community Employees</t>
  </si>
  <si>
    <t>Of which Host Community Contractors</t>
  </si>
  <si>
    <t>Nationals (In country Employees</t>
  </si>
  <si>
    <t>% Nationals³</t>
  </si>
  <si>
    <t>% Contractors</t>
  </si>
  <si>
    <t>Corporate Office</t>
  </si>
  <si>
    <t>Chile</t>
  </si>
  <si>
    <t>¹All the employee numbers are people paid through the Payroll</t>
  </si>
  <si>
    <t xml:space="preserve">²Host community excludes FSE, Chile, Corporate and Perth office. </t>
  </si>
  <si>
    <t>³ Employees only</t>
  </si>
  <si>
    <t xml:space="preserve">Employee type breakdown </t>
  </si>
  <si>
    <t>Permanent Employees</t>
  </si>
  <si>
    <t>Fixed term (temporary employees)</t>
  </si>
  <si>
    <t>Total employees</t>
  </si>
  <si>
    <t>Contractors (other workers)</t>
  </si>
  <si>
    <t>% of Contractors</t>
  </si>
  <si>
    <t>Perth***</t>
  </si>
  <si>
    <t>Salares Norte</t>
  </si>
  <si>
    <t xml:space="preserve">*For Gold Fields Total Employees are workers that are on the payroll (Permanent and Temporary Head Count) as at 31 December 2022.  Cannot give breakdown for other workers off the payroll (Contractors) as Contractors are not graded. </t>
  </si>
  <si>
    <t>** Employee figures are listed by legal entity and not by location. Employees in Accra are counted under Tarkwa, Lima office under Cerro Corona and Santiago under Salares Norte. Employees in Denver, Isle of Man, Amsterdam are assigned to Corporate office and Philippines under Australia.</t>
  </si>
  <si>
    <t>*** 28 from Philippines</t>
  </si>
  <si>
    <t xml:space="preserve">Employee by grade and gender </t>
  </si>
  <si>
    <t>Female</t>
  </si>
  <si>
    <t>Male</t>
  </si>
  <si>
    <t>Reporting bands</t>
  </si>
  <si>
    <t xml:space="preserve">South Deep </t>
  </si>
  <si>
    <t>Female Total</t>
  </si>
  <si>
    <t xml:space="preserve">Male Total </t>
  </si>
  <si>
    <t>Grand Total</t>
  </si>
  <si>
    <t>A</t>
  </si>
  <si>
    <t>BL</t>
  </si>
  <si>
    <t>BU</t>
  </si>
  <si>
    <t>CL</t>
  </si>
  <si>
    <t>CU</t>
  </si>
  <si>
    <t>DL</t>
  </si>
  <si>
    <t>DU</t>
  </si>
  <si>
    <t>EL</t>
  </si>
  <si>
    <t>EU</t>
  </si>
  <si>
    <t>F</t>
  </si>
  <si>
    <t>G</t>
  </si>
  <si>
    <t>NG</t>
  </si>
  <si>
    <t>GRI 401-3 Return to work and retention rates after parental leave, by gender</t>
  </si>
  <si>
    <t>SASB EM-MM-310a.1.</t>
  </si>
  <si>
    <t>Union Membership</t>
  </si>
  <si>
    <t>Approx 3% - 6%</t>
  </si>
  <si>
    <t xml:space="preserve">Approx 3% </t>
  </si>
  <si>
    <t>South Africa*</t>
  </si>
  <si>
    <t>Approx 15 -20%</t>
  </si>
  <si>
    <t>Union Overall</t>
  </si>
  <si>
    <t>*For the recognised unions NUM and UASA</t>
  </si>
  <si>
    <t>SASB EM-MM-310a.2.</t>
  </si>
  <si>
    <t>GRI MM4 - Number of strikes and lockouts exceeding one week duration</t>
  </si>
  <si>
    <t>Absenteeism rate %</t>
  </si>
  <si>
    <t xml:space="preserve">Contractor breakdown </t>
  </si>
  <si>
    <t>Perth</t>
  </si>
  <si>
    <t>Diversity and Equal Opportunity</t>
  </si>
  <si>
    <t>Overall Gender Representation by Band C2023</t>
  </si>
  <si>
    <t>Percentage of Headcount</t>
  </si>
  <si>
    <t>Number Headcount</t>
  </si>
  <si>
    <r>
      <rPr>
        <b/>
        <sz val="9"/>
        <color rgb="FFFFFFFF"/>
        <rFont val="Arial"/>
        <family val="2"/>
      </rPr>
      <t>No females in Core Mining Roles</t>
    </r>
    <r>
      <rPr>
        <b/>
        <sz val="9"/>
        <color rgb="FFFFFFFF"/>
        <rFont val="Calibri"/>
        <family val="2"/>
      </rPr>
      <t>¹</t>
    </r>
  </si>
  <si>
    <t>Job Band</t>
  </si>
  <si>
    <t>No of female</t>
  </si>
  <si>
    <t>No of male</t>
  </si>
  <si>
    <t>G Band</t>
  </si>
  <si>
    <t>F band</t>
  </si>
  <si>
    <t>E Band</t>
  </si>
  <si>
    <t>D Band</t>
  </si>
  <si>
    <t>C Band</t>
  </si>
  <si>
    <t>B Band</t>
  </si>
  <si>
    <t>A Band</t>
  </si>
  <si>
    <t>¹Women in Core Mining includes females employed in core production roles in Mining, Engineering/Maintenance, Metallurgy/Processing, Technical Services (Geotech, Geology, Mine planning, Projects, Exploration roles) Ventilation and Business Improvement.</t>
  </si>
  <si>
    <t>Age analysis for permanent employees C2023</t>
  </si>
  <si>
    <t>16-24</t>
  </si>
  <si>
    <t>25-29</t>
  </si>
  <si>
    <t>30-35</t>
  </si>
  <si>
    <t>36-50</t>
  </si>
  <si>
    <t>51-</t>
  </si>
  <si>
    <t>%</t>
  </si>
  <si>
    <t>Actual numbers</t>
  </si>
  <si>
    <t>Female employees by management categories</t>
  </si>
  <si>
    <t>% females of Permanent Employees</t>
  </si>
  <si>
    <t>EU &amp; ABOVE</t>
  </si>
  <si>
    <t xml:space="preserve">    Female</t>
  </si>
  <si>
    <t xml:space="preserve">    Male</t>
  </si>
  <si>
    <t>DU &amp; EL</t>
  </si>
  <si>
    <t xml:space="preserve">    %</t>
  </si>
  <si>
    <t xml:space="preserve">Male </t>
  </si>
  <si>
    <t>Mining (A - CU)</t>
  </si>
  <si>
    <t>Board</t>
  </si>
  <si>
    <t>Non Graded</t>
  </si>
  <si>
    <t>TOTAL Females</t>
  </si>
  <si>
    <t>Total employees including Board</t>
  </si>
  <si>
    <t>Total female representation including Board</t>
  </si>
  <si>
    <r>
      <rPr>
        <b/>
        <sz val="9"/>
        <color rgb="FFFFFFFF"/>
        <rFont val="Arial"/>
        <family val="2"/>
      </rPr>
      <t>Total Females</t>
    </r>
    <r>
      <rPr>
        <b/>
        <sz val="9"/>
        <color rgb="FFFFFFFF"/>
        <rFont val="Calibri"/>
        <family val="2"/>
      </rPr>
      <t>¹</t>
    </r>
  </si>
  <si>
    <r>
      <rPr>
        <b/>
        <sz val="9"/>
        <color rgb="FFFFFFFF"/>
        <rFont val="Arial"/>
        <family val="2"/>
      </rPr>
      <t>Females in Core</t>
    </r>
    <r>
      <rPr>
        <b/>
        <sz val="9"/>
        <color rgb="FFFFFFFF"/>
        <rFont val="Calibri"/>
        <family val="2"/>
      </rPr>
      <t>²</t>
    </r>
    <r>
      <rPr>
        <b/>
        <sz val="9"/>
        <color rgb="FFFFFFFF"/>
        <rFont val="Arial"/>
        <family val="2"/>
      </rPr>
      <t xml:space="preserve"> Mining</t>
    </r>
  </si>
  <si>
    <t>% Females in core mining</t>
  </si>
  <si>
    <t>% Females in management</t>
  </si>
  <si>
    <t>% Females</t>
  </si>
  <si>
    <t>¹Based on Employees only</t>
  </si>
  <si>
    <r>
      <rPr>
        <sz val="8"/>
        <color rgb="FF000000"/>
        <rFont val="Calibri"/>
        <family val="2"/>
      </rPr>
      <t>²</t>
    </r>
    <r>
      <rPr>
        <sz val="8"/>
        <color rgb="FF000000"/>
        <rFont val="Arial"/>
        <family val="2"/>
      </rPr>
      <t>Females in Core Mining includes females employed in core production roles in Mining, Engineering/Maintenance, Metallurgy/Processing, Technical Services (Geotech, Geology, Mine planning, Projects, Exploration roles) Ventilation and Business Improvement divided by total number of women</t>
    </r>
  </si>
  <si>
    <t>Females in Stem¹ %</t>
  </si>
  <si>
    <t>Females in STEM  of all females %</t>
  </si>
  <si>
    <t>Total STEM positions %</t>
  </si>
  <si>
    <t>¹Science, technology, engineering and mathematics</t>
  </si>
  <si>
    <t>These figures are equivilant to the Core employees as we are using this as  our STEM numbers</t>
  </si>
  <si>
    <t>Group female employees (%)</t>
  </si>
  <si>
    <t>Miners Artisans Officials ( A Band to D Lower including NG)</t>
  </si>
  <si>
    <t>Middle Management (D-Upper to E-Lower)</t>
  </si>
  <si>
    <t>Senior Management (EU&lt;)</t>
  </si>
  <si>
    <t>Proportion of Nationals per region</t>
  </si>
  <si>
    <t>Australia¹</t>
  </si>
  <si>
    <t>**</t>
  </si>
  <si>
    <t>Chile*</t>
  </si>
  <si>
    <t>Nationals in management ***</t>
  </si>
  <si>
    <t>¹Reassessment of Gold Fields Australia employees' citizenship statuses between 2019 and 2020</t>
  </si>
  <si>
    <t xml:space="preserve">* New project in development </t>
  </si>
  <si>
    <t>** Not reported</t>
  </si>
  <si>
    <t>*** based on Payroll</t>
  </si>
  <si>
    <t>Historically Disadvantaged Persons (HDSA) %</t>
  </si>
  <si>
    <t>Target 2023</t>
  </si>
  <si>
    <t>HDSA</t>
  </si>
  <si>
    <t xml:space="preserve">HDSA in management </t>
  </si>
  <si>
    <t>¹Aboriginal or Torres Straight Islanders</t>
  </si>
  <si>
    <t>¹New measurement, not compulsory to disclose</t>
  </si>
  <si>
    <t>SUMMARY</t>
  </si>
  <si>
    <t>Wage comparison type</t>
  </si>
  <si>
    <r>
      <rPr>
        <b/>
        <sz val="9"/>
        <color rgb="FFFFFFFF"/>
        <rFont val="Arial"/>
        <family val="2"/>
      </rPr>
      <t xml:space="preserve">2023 </t>
    </r>
    <r>
      <rPr>
        <b/>
        <vertAlign val="superscript"/>
        <sz val="9"/>
        <color rgb="FFFFFFFF"/>
        <rFont val="Arial"/>
        <family val="2"/>
      </rPr>
      <t>1</t>
    </r>
  </si>
  <si>
    <r>
      <rPr>
        <sz val="9"/>
        <color rgb="FF000000"/>
        <rFont val="Arial"/>
        <family val="2"/>
      </rPr>
      <t xml:space="preserve">Minimum wage ratio - All Employees </t>
    </r>
    <r>
      <rPr>
        <vertAlign val="superscript"/>
        <sz val="9"/>
        <color rgb="FF000000"/>
        <rFont val="Arial"/>
        <family val="2"/>
      </rPr>
      <t>2</t>
    </r>
  </si>
  <si>
    <t>Minimum wage ratio - Female Employees</t>
  </si>
  <si>
    <t>Ratio of basic salary men to women - All Employees</t>
  </si>
  <si>
    <t>Ratio of basic salary women to men - All Employees</t>
  </si>
  <si>
    <t>Ratio of basic salary men to women - Senior Management</t>
  </si>
  <si>
    <t>Ratio of basic salary women to men - Senior Management</t>
  </si>
  <si>
    <r>
      <rPr>
        <sz val="9"/>
        <color rgb="FF000000"/>
        <rFont val="Arial"/>
        <family val="2"/>
      </rPr>
      <t xml:space="preserve">CEO to employee average </t>
    </r>
    <r>
      <rPr>
        <vertAlign val="superscript"/>
        <sz val="9"/>
        <color rgb="FF000000"/>
        <rFont val="Arial"/>
        <family val="2"/>
      </rPr>
      <t>3,4</t>
    </r>
  </si>
  <si>
    <t>CEO to employee minimum</t>
  </si>
  <si>
    <r>
      <rPr>
        <vertAlign val="superscript"/>
        <sz val="8"/>
        <color rgb="FF000000"/>
        <rFont val="Arial"/>
        <family val="2"/>
      </rPr>
      <t>1</t>
    </r>
    <r>
      <rPr>
        <sz val="8"/>
        <color rgb="FF000000"/>
        <rFont val="Arial"/>
        <family val="2"/>
      </rPr>
      <t xml:space="preserve"> All grades A-F are included for 2023</t>
    </r>
  </si>
  <si>
    <r>
      <rPr>
        <vertAlign val="superscript"/>
        <sz val="8"/>
        <color rgb="FF000000"/>
        <rFont val="Arial"/>
        <family val="2"/>
      </rPr>
      <t>2</t>
    </r>
    <r>
      <rPr>
        <sz val="8"/>
        <color rgb="FF000000"/>
        <rFont val="Arial"/>
        <family val="2"/>
      </rPr>
      <t xml:space="preserve"> Entry-level wage compared with local minimum wage. The minimum wage ratio remains greater than the minimum wage in each region. South Africa and Peru reflects the highest ratio of lowest earners against the in-country minimum wage of 2.60 and 1.84 respectively. This ratio excludes Ghana, as the region only employs management-level employees with the transition to contractor mining.</t>
    </r>
  </si>
  <si>
    <r>
      <rPr>
        <vertAlign val="superscript"/>
        <sz val="8"/>
        <color rgb="FF000000"/>
        <rFont val="Arial"/>
        <family val="2"/>
      </rPr>
      <t>3</t>
    </r>
    <r>
      <rPr>
        <sz val="8"/>
        <color rgb="FF000000"/>
        <rFont val="Arial"/>
        <family val="2"/>
      </rPr>
      <t xml:space="preserve"> The CEO’s salary ratio considers the previous Interim CEO 2023 salary against the average of each Paterson band per location across the group. It considers the average employee remuneration per region against the CEO's salary and consolidates the ratio's to an overall employee average against the CEO's salary. </t>
    </r>
  </si>
  <si>
    <r>
      <rPr>
        <vertAlign val="superscript"/>
        <sz val="8"/>
        <color rgb="FF000000"/>
        <rFont val="Arial"/>
        <family val="2"/>
      </rPr>
      <t>4</t>
    </r>
    <r>
      <rPr>
        <sz val="8"/>
        <color rgb="FF000000"/>
        <rFont val="Arial"/>
        <family val="2"/>
      </rPr>
      <t xml:space="preserve"> The CEO’s salary ratio against the minimum has improved which is indicative of larger inflation and special adjustments to the lowest earners across the regions which reflects a lowered gap between the CEO and the lowest earners across the regions.</t>
    </r>
  </si>
  <si>
    <t xml:space="preserve">BASIC SALARY MEN TO FEMALE RATIO PER EMPLOYEE BAND - GROUP WIDE </t>
  </si>
  <si>
    <t>Ratio of female to male</t>
  </si>
  <si>
    <t>Category (grade)</t>
  </si>
  <si>
    <t>A - Operational Employees</t>
  </si>
  <si>
    <t xml:space="preserve">B - Operational Employees </t>
  </si>
  <si>
    <t>C - Supervisory</t>
  </si>
  <si>
    <t>D - Junior Management</t>
  </si>
  <si>
    <t>E - Management</t>
  </si>
  <si>
    <t>F - Senior Management</t>
  </si>
  <si>
    <t>BASIC SALARY MEN TO FEMALE RATIO PER EMPLOYEE BAND PER REGION - 2023</t>
  </si>
  <si>
    <t>Australasia</t>
  </si>
  <si>
    <t>NC</t>
  </si>
  <si>
    <t>NC - No comparable data</t>
  </si>
  <si>
    <t>Minimum Wage Ratio - Female Employees</t>
  </si>
  <si>
    <t>Philippines</t>
  </si>
  <si>
    <t>The minimum wage ratios per region are not weighted.</t>
  </si>
  <si>
    <t>CEO TO EMPLOYEE AVERAGE - 2023</t>
  </si>
  <si>
    <r>
      <rPr>
        <b/>
        <sz val="9"/>
        <color rgb="FFFFFFFF"/>
        <rFont val="Arial"/>
        <family val="2"/>
      </rPr>
      <t xml:space="preserve">CEO to Employee Average </t>
    </r>
    <r>
      <rPr>
        <b/>
        <vertAlign val="superscript"/>
        <sz val="9"/>
        <color rgb="FFFFFFFF"/>
        <rFont val="Arial"/>
        <family val="2"/>
      </rPr>
      <t>1</t>
    </r>
  </si>
  <si>
    <t>International Group</t>
  </si>
  <si>
    <r>
      <rPr>
        <vertAlign val="superscript"/>
        <sz val="8"/>
        <color rgb="FF000000"/>
        <rFont val="Arial"/>
        <family val="2"/>
      </rPr>
      <t>1</t>
    </r>
    <r>
      <rPr>
        <sz val="8"/>
        <color rgb="FF000000"/>
        <rFont val="Arial"/>
        <family val="2"/>
      </rPr>
      <t xml:space="preserve"> FY2023 had no appointed CEO. The CEO salary used for comparison purposes is the previous CEO's disclosed salary for 2022 increased with inflation of 6%</t>
    </r>
  </si>
  <si>
    <t>CEO TO EMPLOYEE MINIMUM - 2023</t>
  </si>
  <si>
    <t>Hiring and Turnover</t>
  </si>
  <si>
    <t>Voluntary turnover 2023</t>
  </si>
  <si>
    <t xml:space="preserve">Employees </t>
  </si>
  <si>
    <t xml:space="preserve">Male vs female turnover </t>
  </si>
  <si>
    <t>Turnover by grade 2023</t>
  </si>
  <si>
    <t>E</t>
  </si>
  <si>
    <t>D</t>
  </si>
  <si>
    <t>C</t>
  </si>
  <si>
    <t>B</t>
  </si>
  <si>
    <t xml:space="preserve">Gender representation trends </t>
  </si>
  <si>
    <t>By gender</t>
  </si>
  <si>
    <t>By region</t>
  </si>
  <si>
    <t xml:space="preserve">South America </t>
  </si>
  <si>
    <t>Age</t>
  </si>
  <si>
    <t>18-29 years</t>
  </si>
  <si>
    <t>30-39 years</t>
  </si>
  <si>
    <t>40-49 years</t>
  </si>
  <si>
    <t>50-59 years</t>
  </si>
  <si>
    <t>60 plus</t>
  </si>
  <si>
    <t>¹ Restructuring at South Deep (South Africa)</t>
  </si>
  <si>
    <t>Total Employee Turnover Rate</t>
  </si>
  <si>
    <t>2020*</t>
  </si>
  <si>
    <t>2018**</t>
  </si>
  <si>
    <t xml:space="preserve">*Excludes all end of contract terminations for Ghana. Figure is a rolling average for the year Jan-Dec. </t>
  </si>
  <si>
    <t>** 2018 - restructuring at South Deep (South Africa)</t>
  </si>
  <si>
    <t>Employee Turnover Rates %</t>
  </si>
  <si>
    <t>Voluntary</t>
  </si>
  <si>
    <t>Male voluntary</t>
  </si>
  <si>
    <t>Female voluntary</t>
  </si>
  <si>
    <t>Involuntary</t>
  </si>
  <si>
    <t>Male involuntary</t>
  </si>
  <si>
    <t>Female involuntary</t>
  </si>
  <si>
    <t>Hiring</t>
  </si>
  <si>
    <r>
      <rPr>
        <sz val="9"/>
        <color rgb="FF000000"/>
        <rFont val="Arial"/>
        <family val="2"/>
      </rPr>
      <t xml:space="preserve">No of new appointments/ rehires externally - Male </t>
    </r>
    <r>
      <rPr>
        <sz val="9"/>
        <color rgb="FF000000"/>
        <rFont val="Calibri"/>
        <family val="2"/>
      </rPr>
      <t>*</t>
    </r>
  </si>
  <si>
    <r>
      <rPr>
        <sz val="9"/>
        <color rgb="FF000000"/>
        <rFont val="Arial"/>
        <family val="2"/>
      </rPr>
      <t>No of new appointments/ rehires externally - Female</t>
    </r>
    <r>
      <rPr>
        <sz val="9"/>
        <color rgb="FF000000"/>
        <rFont val="Calibri"/>
        <family val="2"/>
      </rPr>
      <t>*</t>
    </r>
  </si>
  <si>
    <r>
      <rPr>
        <sz val="9"/>
        <color rgb="FF000000"/>
        <rFont val="Arial"/>
        <family val="2"/>
      </rPr>
      <t>Rehire - Male</t>
    </r>
    <r>
      <rPr>
        <sz val="9"/>
        <color rgb="FF000000"/>
        <rFont val="Calibri"/>
        <family val="2"/>
      </rPr>
      <t>**</t>
    </r>
  </si>
  <si>
    <r>
      <rPr>
        <sz val="9"/>
        <color rgb="FF000000"/>
        <rFont val="Arial"/>
        <family val="2"/>
      </rPr>
      <t>Rehire - Female</t>
    </r>
    <r>
      <rPr>
        <sz val="9"/>
        <color rgb="FF000000"/>
        <rFont val="Calibri"/>
        <family val="2"/>
      </rPr>
      <t>*</t>
    </r>
  </si>
  <si>
    <t>No of promotions - Male</t>
  </si>
  <si>
    <t>No of promotions - Female</t>
  </si>
  <si>
    <t>Total of new appointments, rehires and promotions</t>
  </si>
  <si>
    <t>% internal hire rate</t>
  </si>
  <si>
    <t>Hiring Costs (US$)</t>
  </si>
  <si>
    <t>Training</t>
  </si>
  <si>
    <t>Training and Development Spend per employee</t>
  </si>
  <si>
    <t>Spend (USm)</t>
  </si>
  <si>
    <t>Spend Per employee (US)</t>
  </si>
  <si>
    <t xml:space="preserve">Training and Development </t>
  </si>
  <si>
    <t>Training hours per employee</t>
  </si>
  <si>
    <t>720****</t>
  </si>
  <si>
    <t>362**</t>
  </si>
  <si>
    <t>142*</t>
  </si>
  <si>
    <t>*impacted by Covid and the ability to have face to face training</t>
  </si>
  <si>
    <t>**Training numbers in Australia have increased significantly as the focus on training becomes critical with skill shortages</t>
  </si>
  <si>
    <t>**** data taken from SPR but does not include Chile ( given seperately) and only ee's training hours</t>
  </si>
  <si>
    <t>Region Spend C2023</t>
  </si>
  <si>
    <t>US$</t>
  </si>
  <si>
    <t>Spend per employee (US)</t>
  </si>
  <si>
    <t>Training and Development  by gender</t>
  </si>
  <si>
    <t>Training females</t>
  </si>
  <si>
    <t>Training men</t>
  </si>
  <si>
    <t xml:space="preserve"> This is a new request and we cannot backdate the data </t>
  </si>
  <si>
    <t>Host Community Employment</t>
  </si>
  <si>
    <t>% Host Community¹ of Total Workforce²</t>
  </si>
  <si>
    <t>¹ Host communities are identified by each operation for the purpose of securing our mining licences – both legal and social. These communities reside in the vicinity of our operations, have been directly affected by exploration, construction or operations, and have a reasonable expectation regarding the duties and obligations of the mining operator.</t>
  </si>
  <si>
    <t>² Workforce is the total of employees and contractors</t>
  </si>
  <si>
    <t>Total Host Community Workforce¹</t>
  </si>
  <si>
    <t>Year</t>
  </si>
  <si>
    <t>Australia²</t>
  </si>
  <si>
    <t>2,568³</t>
  </si>
  <si>
    <t>¹Workforce comprises total employees and contractors. Host community employment data excludes our corporate and regional offices as well as projects.</t>
  </si>
  <si>
    <t>²Australia’s 2018 performance are based on its revised host community definition, which is aligned with the Group’s definition thereof, where communities are those living within an operations’ direct area of influence. Previous years’ numbers have not been restated. These numbers exclude the Perth head office. Gruyere is included from commissioning in mid-2019.</t>
  </si>
  <si>
    <t>³South Deep’s 2018 performance is based on its revised host community definition which is aligned with needs of the regulator, local government and community stakeholders as well as with the Group’s guidance. Previous years’ numbers have not been restated.</t>
  </si>
  <si>
    <t>Host Community jobs in the mine value chain</t>
  </si>
  <si>
    <r>
      <rPr>
        <b/>
        <sz val="9"/>
        <color rgb="FFFFFFFF"/>
        <rFont val="Arial"/>
        <family val="2"/>
      </rPr>
      <t>Employees</t>
    </r>
  </si>
  <si>
    <r>
      <rPr>
        <b/>
        <sz val="9"/>
        <color rgb="FFFFFFFF"/>
        <rFont val="Arial"/>
        <family val="2"/>
      </rPr>
      <t>Contractors</t>
    </r>
  </si>
  <si>
    <r>
      <rPr>
        <b/>
        <sz val="9"/>
        <color rgb="FFFFFFFF"/>
        <rFont val="Arial"/>
        <family val="2"/>
      </rPr>
      <t>Suppliers</t>
    </r>
  </si>
  <si>
    <r>
      <rPr>
        <b/>
        <sz val="9"/>
        <color rgb="FFFFFFFF"/>
        <rFont val="Arial"/>
        <family val="2"/>
      </rPr>
      <t>Non-mining¹</t>
    </r>
  </si>
  <si>
    <r>
      <rPr>
        <b/>
        <sz val="9"/>
        <color rgb="FFFFFFFF"/>
        <rFont val="Arial"/>
        <family val="2"/>
      </rPr>
      <t>Total jobs</t>
    </r>
  </si>
  <si>
    <t>¹ Non-mining jobs are created by community vendors that supply the community and other customers but not the Mine and where the mine assisted the supplier to create the job.</t>
  </si>
  <si>
    <t>Host community wages US$ million</t>
  </si>
  <si>
    <t>Wages for community employees</t>
  </si>
  <si>
    <t>Host Community employees per grade per Region</t>
  </si>
  <si>
    <t>Host Community Procurement</t>
  </si>
  <si>
    <r>
      <rPr>
        <b/>
        <sz val="9"/>
        <color rgb="FFFFFFFF"/>
        <rFont val="Arial"/>
        <family val="2"/>
      </rPr>
      <t>Host Community¹ Procurement %</t>
    </r>
  </si>
  <si>
    <t>Country</t>
  </si>
  <si>
    <t>29³</t>
  </si>
  <si>
    <t xml:space="preserve">Group </t>
  </si>
  <si>
    <t>¹Host communities are identified by each of our operations for the purpose of securing our mining licences – both legal and social. These communities reside in the vicinity of our perations, have been directly affected by exploration, construction or operations, and have a reasonable expectation regarding the duties and obligations of the mining operator.</t>
  </si>
  <si>
    <t xml:space="preserve">²Australia’s 2018 performance is based on its new host community definition which is aligned with the Group’s definition thereof, where communities are those living within an operation’s direct area of influence. Previous years’ numbers have not been restated. These numbers exclude the Perth office. </t>
  </si>
  <si>
    <t>Gruyere is included from commissioning in mid-2019.</t>
  </si>
  <si>
    <t xml:space="preserve">³ South Deep’s 2018 performance is based on its revised host community definition which is aligned with needs of the regulator, local government and community stakeholders, as well as with the Group’s guidance. </t>
  </si>
  <si>
    <t xml:space="preserve"> Host Community procurement expenditure %</t>
  </si>
  <si>
    <t>ALLISON</t>
  </si>
  <si>
    <r>
      <rPr>
        <b/>
        <sz val="9"/>
        <color rgb="FFFFFFFF"/>
        <rFont val="Arial"/>
        <family val="2"/>
      </rPr>
      <t>Local (In Country) Procurement  %</t>
    </r>
  </si>
  <si>
    <t>Procurement Spend US$m C2023</t>
  </si>
  <si>
    <t>In-country</t>
  </si>
  <si>
    <t>International</t>
  </si>
  <si>
    <t>US$m</t>
  </si>
  <si>
    <t>Perth Office</t>
  </si>
  <si>
    <t>Host Community Spend US$m and % Host Community Spend C2023</t>
  </si>
  <si>
    <t>Total and Host community suppliers by country C2023</t>
  </si>
  <si>
    <t>Host community suppliers</t>
  </si>
  <si>
    <t>Total suppliers</t>
  </si>
  <si>
    <t xml:space="preserve">HDSA Spend South Africa (black economic empowerment entities) </t>
  </si>
  <si>
    <t>% of Total Procurement Spend</t>
  </si>
  <si>
    <r>
      <rPr>
        <b/>
        <sz val="9"/>
        <color rgb="FFFFFFFF"/>
        <rFont val="Arial"/>
        <family val="2"/>
      </rPr>
      <t>Indigenous People Procurement</t>
    </r>
    <r>
      <rPr>
        <b/>
        <vertAlign val="superscript"/>
        <sz val="9"/>
        <color rgb="FFFFFFFF"/>
        <rFont val="Arial"/>
        <family val="2"/>
      </rPr>
      <t>1</t>
    </r>
  </si>
  <si>
    <r>
      <rPr>
        <vertAlign val="superscript"/>
        <sz val="9"/>
        <color rgb="FF000000"/>
        <rFont val="Arial"/>
        <family val="2"/>
      </rPr>
      <t>1</t>
    </r>
    <r>
      <rPr>
        <sz val="9"/>
        <color rgb="FF000000"/>
        <rFont val="Arial"/>
        <family val="2"/>
      </rPr>
      <t>Australia only</t>
    </r>
  </si>
  <si>
    <t>Number of female owned businesses 2023</t>
  </si>
  <si>
    <t>Total Suppliers And Contractors</t>
  </si>
  <si>
    <t>Number of female owned businesses</t>
  </si>
  <si>
    <t>%  female owned businesses</t>
  </si>
  <si>
    <r>
      <rPr>
        <sz val="9"/>
        <color rgb="FF000000"/>
        <rFont val="Arial"/>
        <family val="2"/>
      </rPr>
      <t>NA</t>
    </r>
    <r>
      <rPr>
        <vertAlign val="superscript"/>
        <sz val="8"/>
        <color rgb="FF000000"/>
        <rFont val="Arial"/>
        <family val="2"/>
      </rPr>
      <t>1</t>
    </r>
  </si>
  <si>
    <t>-</t>
  </si>
  <si>
    <r>
      <rPr>
        <vertAlign val="superscript"/>
        <sz val="9"/>
        <color rgb="FF000000"/>
        <rFont val="Arial"/>
        <family val="2"/>
      </rPr>
      <t>1</t>
    </r>
    <r>
      <rPr>
        <sz val="9"/>
        <color rgb="FF000000"/>
        <rFont val="Arial"/>
        <family val="2"/>
      </rPr>
      <t xml:space="preserve"> Data not available</t>
    </r>
  </si>
  <si>
    <t>Host community value created by region</t>
  </si>
  <si>
    <t>Host community value from total national value creation</t>
  </si>
  <si>
    <t>Total host community value (US$m)</t>
  </si>
  <si>
    <t>National value creation (%)</t>
  </si>
  <si>
    <t>Group and Regional SED Spend (US$m)</t>
  </si>
  <si>
    <t>Group¹</t>
  </si>
  <si>
    <t>Group¹ SED contributions by type (US$m)</t>
  </si>
  <si>
    <t>Conservation and Environment</t>
  </si>
  <si>
    <t>Infrastructure</t>
  </si>
  <si>
    <t>Education and Training</t>
  </si>
  <si>
    <t>Health and Wellbeing</t>
  </si>
  <si>
    <t>Economic Diversification</t>
  </si>
  <si>
    <t>Charitable giving and gifts in-kind</t>
  </si>
  <si>
    <t>¹Excludes projects</t>
  </si>
  <si>
    <t>All numbers restated to report category Charitable giving and gifts in-kind. Previously Charitable Giving was incorporated into other categories.</t>
  </si>
  <si>
    <t>Australia¹ SED contributions by type (US$m)</t>
  </si>
  <si>
    <t xml:space="preserve">¹Excludes Far South East </t>
  </si>
  <si>
    <t>South Africa SED contributions by type (US$m)</t>
  </si>
  <si>
    <t>Ghana SED contributions by type (US$m)</t>
  </si>
  <si>
    <t>Peru SED contributions by type (US$m)</t>
  </si>
  <si>
    <t>Community Grievances</t>
  </si>
  <si>
    <t xml:space="preserve">Total community grievances recorded per Operation </t>
  </si>
  <si>
    <t>Total community grievances recorded by category</t>
  </si>
  <si>
    <t>Grievance category</t>
  </si>
  <si>
    <t>Social and community</t>
  </si>
  <si>
    <t>Environmental (blasting, vibrations, noise, dust, water)</t>
  </si>
  <si>
    <t>Land (access and legal)</t>
  </si>
  <si>
    <t>Social impact</t>
  </si>
  <si>
    <t>Employment and procurement</t>
  </si>
  <si>
    <t>Social development</t>
  </si>
  <si>
    <t>Security</t>
  </si>
  <si>
    <t>Resettlement and compensation</t>
  </si>
  <si>
    <t>Infrastructure and services</t>
  </si>
  <si>
    <t>Commitments</t>
  </si>
  <si>
    <t>Cultural heritage</t>
  </si>
  <si>
    <t>Other (miscellaneous)</t>
  </si>
  <si>
    <t>Total community grievances resolved within agreed timeframe per Operation 2021</t>
  </si>
  <si>
    <t>Recorded per operation</t>
  </si>
  <si>
    <t>Percentage resolved within agreed timeframe</t>
  </si>
  <si>
    <t>GRI 411-1 Total number of incidents of violations involving rights of indigenous people, and actions taken</t>
  </si>
  <si>
    <t>Number of engagements per stakeholder group</t>
  </si>
  <si>
    <t>Communities</t>
  </si>
  <si>
    <t>Other stakeholders</t>
  </si>
  <si>
    <t>Phlippines</t>
  </si>
  <si>
    <t>GROUP (excl. Philippines)</t>
  </si>
  <si>
    <t>GROUP (incl. Philippines)</t>
  </si>
  <si>
    <r>
      <rPr>
        <b/>
        <sz val="8"/>
        <color rgb="FF000000"/>
        <rFont val="Arial"/>
        <family val="2"/>
      </rPr>
      <t>Communities</t>
    </r>
    <r>
      <rPr>
        <sz val="8"/>
        <color rgb="FF000000"/>
        <rFont val="Arial"/>
        <family val="2"/>
      </rPr>
      <t xml:space="preserve"> includes host communities</t>
    </r>
  </si>
  <si>
    <r>
      <rPr>
        <b/>
        <sz val="8"/>
        <color rgb="FF000000"/>
        <rFont val="Arial"/>
        <family val="2"/>
      </rPr>
      <t>Governments</t>
    </r>
    <r>
      <rPr>
        <sz val="8"/>
        <color rgb="FF000000"/>
        <rFont val="Arial"/>
        <family val="2"/>
      </rPr>
      <t xml:space="preserve"> includes host, territorial and national government and regulators</t>
    </r>
  </si>
  <si>
    <r>
      <rPr>
        <b/>
        <sz val="8"/>
        <color rgb="FF000000"/>
        <rFont val="Arial"/>
        <family val="2"/>
      </rPr>
      <t>Other stakeholders</t>
    </r>
    <r>
      <rPr>
        <sz val="8"/>
        <color rgb="FF000000"/>
        <rFont val="Arial"/>
        <family val="2"/>
      </rPr>
      <t xml:space="preserve"> includes academia/educational institutions, business partners, employees, industry bodies/peers, media, NGOs,</t>
    </r>
    <r>
      <rPr>
        <sz val="8"/>
        <color rgb="FF000000"/>
        <rFont val="Arial"/>
        <family val="2"/>
      </rPr>
      <t xml:space="preserve"> </t>
    </r>
    <r>
      <rPr>
        <sz val="8"/>
        <color rgb="FF000000"/>
        <rFont val="Arial"/>
        <family val="2"/>
      </rPr>
      <t>organised labour, political parties, private entities, state owned enterprises, suppliers and contractors, traditional authorities and</t>
    </r>
    <r>
      <rPr>
        <sz val="8"/>
        <color rgb="FF000000"/>
        <rFont val="Arial"/>
        <family val="2"/>
      </rPr>
      <t xml:space="preserve"> </t>
    </r>
    <r>
      <rPr>
        <sz val="8"/>
        <color rgb="FF000000"/>
        <rFont val="Arial"/>
        <family val="2"/>
      </rPr>
      <t>trusts/ foundations.</t>
    </r>
  </si>
  <si>
    <t>Education and skills programmes*</t>
  </si>
  <si>
    <r>
      <rPr>
        <b/>
        <sz val="9"/>
        <color rgb="FFFFFFFF"/>
        <rFont val="Arial"/>
        <family val="2"/>
      </rPr>
      <t>Number of education and skill programmes support outside the workforce</t>
    </r>
    <r>
      <rPr>
        <b/>
        <vertAlign val="superscript"/>
        <sz val="9"/>
        <color rgb="FFFFFFFF"/>
        <rFont val="Arial"/>
        <family val="2"/>
      </rPr>
      <t>1</t>
    </r>
  </si>
  <si>
    <t>Number of education and skills programs supported</t>
  </si>
  <si>
    <r>
      <rPr>
        <vertAlign val="superscript"/>
        <sz val="8"/>
        <color rgb="FF000000"/>
        <rFont val="Arial"/>
        <family val="2"/>
      </rPr>
      <t>1</t>
    </r>
    <r>
      <rPr>
        <sz val="8"/>
        <color rgb="FF000000"/>
        <rFont val="Arial"/>
        <family val="2"/>
      </rPr>
      <t xml:space="preserve"> Socioeconomic development interventions that are run by companies in relation to education and skills development outside of their workforce. Programmes have been counted per level of education (i.e. early childhood, primary, secondary and tertiary)</t>
    </r>
  </si>
  <si>
    <t>Total investment on education and skills programmes (US$m)</t>
  </si>
  <si>
    <r>
      <rPr>
        <sz val="9"/>
        <color rgb="FF000000"/>
        <rFont val="Arial"/>
        <family val="2"/>
      </rPr>
      <t>Bursaries and Scholarships</t>
    </r>
    <r>
      <rPr>
        <vertAlign val="superscript"/>
        <sz val="9"/>
        <color rgb="FF000000"/>
        <rFont val="Arial"/>
        <family val="2"/>
      </rPr>
      <t>1</t>
    </r>
  </si>
  <si>
    <r>
      <rPr>
        <sz val="9"/>
        <color rgb="FF000000"/>
        <rFont val="Arial"/>
        <family val="2"/>
      </rPr>
      <t>Education support</t>
    </r>
    <r>
      <rPr>
        <vertAlign val="superscript"/>
        <sz val="9"/>
        <color rgb="FF000000"/>
        <rFont val="Arial"/>
        <family val="2"/>
      </rPr>
      <t>2</t>
    </r>
  </si>
  <si>
    <r>
      <rPr>
        <vertAlign val="superscript"/>
        <sz val="8"/>
        <color rgb="FF000000"/>
        <rFont val="Arial"/>
        <family val="2"/>
      </rPr>
      <t>1</t>
    </r>
    <r>
      <rPr>
        <sz val="8"/>
        <color rgb="FF000000"/>
        <rFont val="Arial"/>
        <family val="2"/>
      </rPr>
      <t xml:space="preserve"> Bursaries and scholarships: An amount of money given to a person by an organisation to pay for them to study. This could cover the cost of tuition or support with living expenses during studies.
</t>
    </r>
    <r>
      <rPr>
        <vertAlign val="superscript"/>
        <sz val="8"/>
        <color rgb="FF000000"/>
        <rFont val="Arial"/>
        <family val="2"/>
      </rPr>
      <t>2</t>
    </r>
    <r>
      <rPr>
        <sz val="8"/>
        <color rgb="FF000000"/>
        <rFont val="Arial"/>
        <family val="2"/>
      </rPr>
      <t xml:space="preserve"> Education support: Provision of instructional methods, educational services, or school resources to support learners in the effort to help them accelerate their learning progress, catch up with their peers, meet learning standards or generally succeed in school. Adult Learning programs have been included in this item.</t>
    </r>
  </si>
  <si>
    <r>
      <rPr>
        <b/>
        <sz val="9"/>
        <color rgb="FFFFFFFF"/>
        <rFont val="Arial"/>
        <family val="2"/>
      </rPr>
      <t>Total number of beneficiaries of education and skills programmes</t>
    </r>
    <r>
      <rPr>
        <b/>
        <vertAlign val="superscript"/>
        <sz val="9"/>
        <color rgb="FFFFFFFF"/>
        <rFont val="Arial"/>
        <family val="2"/>
      </rPr>
      <t>1</t>
    </r>
  </si>
  <si>
    <r>
      <rPr>
        <vertAlign val="superscript"/>
        <sz val="8"/>
        <color rgb="FF000000"/>
        <rFont val="Arial"/>
        <family val="2"/>
      </rPr>
      <t> 1</t>
    </r>
    <r>
      <rPr>
        <sz val="8"/>
        <color rgb="FF000000"/>
        <rFont val="Arial"/>
        <family val="2"/>
      </rPr>
      <t xml:space="preserve"> Under reported for Australia</t>
    </r>
  </si>
  <si>
    <t>Capacity and institution programmes</t>
  </si>
  <si>
    <t>Number of capacity and institution programmes supported¹</t>
  </si>
  <si>
    <t>¹Range of programmes that can be delivered to establish and/or enhance civic organisations and their institutional capacity</t>
  </si>
  <si>
    <t>Total investment on capacity and institution programs (US$)</t>
  </si>
  <si>
    <t xml:space="preserve">Total investment on capacity and institution programs </t>
  </si>
  <si>
    <t>Total number of beneficiaries of capacity and institution programs</t>
  </si>
  <si>
    <t>*These tables contain first year data which could be restated in the future</t>
  </si>
  <si>
    <t>Notice of AGM:</t>
  </si>
  <si>
    <t>https://www.goldfields.com/pdf/investors/integrated-annual-reports/2023/gold-fields-agm-2023.pdf</t>
  </si>
  <si>
    <t xml:space="preserve">Hotline: </t>
  </si>
  <si>
    <t xml:space="preserve">https://www.goldfields.com/management-approaches.php </t>
  </si>
  <si>
    <t>Governance and Compliance –</t>
  </si>
  <si>
    <t xml:space="preserve"> – Human Capital</t>
  </si>
  <si>
    <t>EMMM–510a.1
EMMM– 510a.2</t>
  </si>
  <si>
    <t>https://www.goldfields.com/pdf/investors/integrated-annual-reports/2023/gold-fields-ccr-report-2023.pdf</t>
  </si>
  <si>
    <t>Human rights –</t>
  </si>
  <si>
    <t>Not relevant – gold is sold directly to refineries for processing and on-selling as the final product. Gold is a benign product which has no significant health or safety impacts.</t>
  </si>
  <si>
    <r>
      <t xml:space="preserve">IAR 
</t>
    </r>
    <r>
      <rPr>
        <sz val="9"/>
        <color rgb="FF000000"/>
        <rFont val="Proxima Nova Lt"/>
      </rPr>
      <t/>
    </r>
  </si>
  <si>
    <t xml:space="preserve">IAR </t>
  </si>
  <si>
    <t>https://www.goldfields.com/pdf/investors/integrated-annual-reports/2023/iar-2023-lowres.pdf</t>
  </si>
  <si>
    <t>https://www.goldfields.com/pdf/investors/integrated-annual-reports/2023/governance-and-remuneration-report-2023.pdf</t>
  </si>
  <si>
    <t xml:space="preserve">GRR </t>
  </si>
  <si>
    <t xml:space="preserve">RTS </t>
  </si>
  <si>
    <t>https://www.goldfields.com/pdf/investors/integrated-annual-reports/2023/gold-fields-report-to-stakeholders-2023.pdf</t>
  </si>
  <si>
    <t xml:space="preserve">CCR </t>
  </si>
  <si>
    <t xml:space="preserve">CCR  </t>
  </si>
  <si>
    <t>Supply Chain overview –</t>
  </si>
  <si>
    <t>ESG Data – Workforce;</t>
  </si>
  <si>
    <t>ESG Data – Training and Development</t>
  </si>
  <si>
    <t>ESG Data – Closure</t>
  </si>
  <si>
    <t xml:space="preserve">Integrated Annual Report (IAR) – </t>
  </si>
  <si>
    <t xml:space="preserve">Governance and Remuneration Report (GRR) – </t>
  </si>
  <si>
    <t>https://www.goldfields.com/sustainability-data.php</t>
  </si>
  <si>
    <t xml:space="preserve">Environment, Social and Governance Databook (ESG Data) – </t>
  </si>
  <si>
    <t xml:space="preserve">Report to Stakeholders (RTS) – </t>
  </si>
  <si>
    <t xml:space="preserve">Climate Change Report (CCR) – </t>
  </si>
  <si>
    <t xml:space="preserve">Management Approaches (MA's) – </t>
  </si>
  <si>
    <t>For management approach disclosures, performance measures and additional context, please refer to our website :</t>
  </si>
  <si>
    <t>https://www.goldfields.com/sustainability.php</t>
  </si>
  <si>
    <t>People and careers overview:</t>
  </si>
  <si>
    <t>https://www.goldfields.com/supply-chain-risk-management.php</t>
  </si>
  <si>
    <t>Government and Public Policy-related Interaction;</t>
  </si>
  <si>
    <t>https://www.goldfields.com</t>
  </si>
  <si>
    <t xml:space="preserve"> Gold Fields Code of Conduct</t>
  </si>
  <si>
    <t>gfl-policy-stakeholder-relationship.pdf (goldfields.com)</t>
  </si>
  <si>
    <t>gfl-policy-community.pdf (goldfields.com)</t>
  </si>
  <si>
    <t>gfl-policy-human-rights.pdf (goldfields.com)</t>
  </si>
  <si>
    <t>gfl-policy-materials-supply-chain-stewardship.pdf (goldfields.com)</t>
  </si>
  <si>
    <t>gfl-policy-climate-change.pdf (goldfields.com)</t>
  </si>
  <si>
    <t>https://www.goldfields.com/pdf/about-us/corporate-governance/policies/2024/gfl-policy-sustainable-dev.pdf</t>
  </si>
  <si>
    <t>https://www.goldfields.com/pdf/about-us/corporate-governance/policies/2024/gfl-policy-stakeholder-relationship.pdf</t>
  </si>
  <si>
    <t>https://www.goldfields.com/pdf/about-us/corporate-governance/policies/2023/diversity-equity-inclusion-and-belonging-policy-statement.pdf</t>
  </si>
  <si>
    <r>
      <t xml:space="preserve">Where we operate pgs 06 - 07
</t>
    </r>
    <r>
      <rPr>
        <b/>
        <sz val="9"/>
        <color rgb="FF4A4A49"/>
        <rFont val="Arial"/>
        <family val="2"/>
      </rPr>
      <t>Website:</t>
    </r>
  </si>
  <si>
    <r>
      <rPr>
        <sz val="9"/>
        <color rgb="FF4A4A49"/>
        <rFont val="Arial"/>
        <family val="2"/>
      </rPr>
      <t>pgs 03, 07</t>
    </r>
  </si>
  <si>
    <r>
      <rPr>
        <b/>
        <sz val="9"/>
        <color rgb="FF4A4A49"/>
        <rFont val="Arial"/>
        <family val="2"/>
      </rPr>
      <t xml:space="preserve">Website:
</t>
    </r>
    <r>
      <rPr>
        <sz val="9"/>
        <color rgb="FF4A4A49"/>
        <rFont val="Arial"/>
        <family val="2"/>
      </rPr>
      <t>Ethics. Conduct and Integrity</t>
    </r>
  </si>
  <si>
    <r>
      <rPr>
        <b/>
        <sz val="9"/>
        <color rgb="FF4A4A49"/>
        <rFont val="Arial"/>
        <family val="2"/>
      </rPr>
      <t xml:space="preserve">Website:
</t>
    </r>
    <r>
      <rPr>
        <sz val="9"/>
        <color rgb="FF4A4A49"/>
        <rFont val="Arial"/>
        <family val="2"/>
      </rPr>
      <t>Find our full Tax Strategy and Policy, which now includes tax risk and governance, at</t>
    </r>
  </si>
  <si>
    <r>
      <rPr>
        <b/>
        <sz val="9"/>
        <color rgb="FF4A4A49"/>
        <rFont val="Arial"/>
        <family val="2"/>
      </rPr>
      <t xml:space="preserve">Website:
</t>
    </r>
    <r>
      <rPr>
        <sz val="9"/>
        <color rgb="FF4A4A49"/>
        <rFont val="Arial"/>
        <family val="2"/>
      </rPr>
      <t xml:space="preserve">Find our full Tax Strategy and Policy, which now includes tax risk and governance, at </t>
    </r>
  </si>
  <si>
    <r>
      <rPr>
        <sz val="9"/>
        <color rgb="FF4A4A49"/>
        <rFont val="Arial"/>
        <family val="2"/>
      </rPr>
      <t>Respectful workplace pgs 12 - 13, 26, 34, 43, 52, 60
Human Rights pgs 14 - 15</t>
    </r>
  </si>
  <si>
    <r>
      <rPr>
        <sz val="9"/>
        <color rgb="FF4A4A49"/>
        <rFont val="Arial"/>
        <family val="2"/>
      </rPr>
      <t xml:space="preserve">Investor focus pg 20
</t>
    </r>
    <r>
      <rPr>
        <b/>
        <sz val="9"/>
        <color rgb="FF4A4A49"/>
        <rFont val="Arial"/>
        <family val="2"/>
      </rPr>
      <t>Website:</t>
    </r>
  </si>
  <si>
    <r>
      <rPr>
        <b/>
        <sz val="9"/>
        <color rgb="FF4A4A49"/>
        <rFont val="Arial"/>
        <family val="2"/>
      </rPr>
      <t xml:space="preserve">Website:
</t>
    </r>
    <r>
      <rPr>
        <sz val="9"/>
        <color rgb="FF4A4A49"/>
        <rFont val="Arial"/>
        <family val="2"/>
      </rPr>
      <t>Supplier Code of Business Conduct</t>
    </r>
  </si>
  <si>
    <r>
      <t xml:space="preserve">4 </t>
    </r>
    <r>
      <rPr>
        <sz val="9"/>
        <color theme="1"/>
        <rFont val="Calibri"/>
        <family val="2"/>
      </rPr>
      <t>²</t>
    </r>
  </si>
  <si>
    <r>
      <t>4</t>
    </r>
    <r>
      <rPr>
        <vertAlign val="superscript"/>
        <sz val="9"/>
        <color theme="1"/>
        <rFont val="Arial"/>
        <family val="2"/>
      </rPr>
      <t xml:space="preserve"> 4</t>
    </r>
  </si>
  <si>
    <r>
      <t>205</t>
    </r>
    <r>
      <rPr>
        <vertAlign val="superscript"/>
        <sz val="9"/>
        <color theme="1"/>
        <rFont val="Calibri"/>
        <family val="2"/>
      </rPr>
      <t xml:space="preserve"> 5</t>
    </r>
  </si>
  <si>
    <r>
      <t xml:space="preserve">453 </t>
    </r>
    <r>
      <rPr>
        <b/>
        <vertAlign val="superscript"/>
        <sz val="9"/>
        <color theme="1"/>
        <rFont val="Calibri"/>
        <family val="2"/>
      </rPr>
      <t>6</t>
    </r>
  </si>
  <si>
    <r>
      <t>426</t>
    </r>
    <r>
      <rPr>
        <sz val="9"/>
        <color theme="1"/>
        <rFont val="Calibri"/>
        <family val="2"/>
      </rPr>
      <t>¹</t>
    </r>
  </si>
  <si>
    <t xml:space="preserve">  </t>
  </si>
  <si>
    <t>Gold Fields TODFR (per manhours worked) is based on number of Silicosis, NIHL, COAD and CRTB cases plus Other Occupational Disorders, including Musculoskeletal Disorders (not assured)
¹ Gold Fields standardised their method for measuring 'hours worked' at South Deep, departing from a formula to actual hours. This change affects the frequency rate calculation for 2023.</t>
  </si>
  <si>
    <t>0.67¹</t>
  </si>
  <si>
    <t>0.5</t>
  </si>
  <si>
    <t>0.7</t>
  </si>
  <si>
    <t>1.21</t>
  </si>
  <si>
    <t>1.1</t>
  </si>
  <si>
    <t xml:space="preserve">Rounding: Some figures and percentages may not add up to the total figure or 100 percent due to rounding. 
</t>
  </si>
  <si>
    <t>Peru -Cerro Corona</t>
  </si>
  <si>
    <t>Chile Salares Norte</t>
  </si>
  <si>
    <t>South Africa - Corporate Office</t>
  </si>
  <si>
    <t>South Africa – South Deep</t>
  </si>
  <si>
    <t>Policy and Legislation</t>
  </si>
  <si>
    <t>Yes – Differences in policies with South Deep mainly as a consequence of Collective Bargaining</t>
  </si>
  <si>
    <t>Yes - Differences in policies with the Corporate Office mainly as a consequence of Collective Bargaining</t>
  </si>
  <si>
    <t>Prenatal leave</t>
  </si>
  <si>
    <t>N/A</t>
  </si>
  <si>
    <t>Maternity Leave</t>
  </si>
  <si>
    <t>Paid parental leave shall be available to an employee who has or will have the primary responsibility for the care of a child. Such employee shall be entitled to:</t>
  </si>
  <si>
    <t>Employees may be eligible to take unpaid parental leave for a maximum of 12 months if they experience:</t>
  </si>
  <si>
    <t>An eligible pregnant employee shall be entitled to take paid personal leave or unpaid special parental leave if the employee is not fit for work because of:</t>
  </si>
  <si>
    <t>Adoption Leave</t>
  </si>
  <si>
    <t>Employees who require leave in relation to the legal adoption or fostering of a child should take their own paid or accumulated leave or may apply for unpaid leave.</t>
  </si>
  <si>
    <r>
      <t>•</t>
    </r>
    <r>
      <rPr>
        <sz val="7"/>
        <rFont val="Times New Roman"/>
        <family val="1"/>
      </rPr>
      <t xml:space="preserve">      </t>
    </r>
    <r>
      <rPr>
        <sz val="11"/>
        <rFont val="Calibri"/>
        <family val="2"/>
      </rPr>
      <t>Maternity leave benefits apply for an adoption.</t>
    </r>
  </si>
  <si>
    <t>Commissioning Parental Leave (Surrogacy)</t>
  </si>
  <si>
    <t>Paternity Leave</t>
  </si>
  <si>
    <t>Partner Leave</t>
  </si>
  <si>
    <t>An Employee who is not the primary care giver to a newborn child (who is born or adopted while the employee is employed by Gold Fields) and has completed at least 6 months' continuous service with the Employer shall within the first twelve (12) months following the birth of the child be entitled to:</t>
  </si>
  <si>
    <t>Partner Leave shall also apply to an employee:</t>
  </si>
  <si>
    <t>Where an employee’s partner experiences a miscarriage, the employee shall be entitled to 2 weeks Partner Leave.</t>
  </si>
  <si>
    <t>Lactation/</t>
  </si>
  <si>
    <t>Breastfeeding</t>
  </si>
  <si>
    <t>This summary includes extracts from regional policies. You will therefore see nuances as pertains to weeks, calendar days, etc.</t>
  </si>
  <si>
    <r>
      <t> </t>
    </r>
    <r>
      <rPr>
        <sz val="10"/>
        <rFont val="Calibri"/>
        <family val="2"/>
      </rPr>
      <t>Is it the same conditions as above - we need to understand and be clear</t>
    </r>
  </si>
  <si>
    <t>• 49 days of prenatal rest.</t>
  </si>
  <si>
    <r>
      <t>•</t>
    </r>
    <r>
      <rPr>
        <sz val="7"/>
        <rFont val="Times New Roman"/>
        <family val="1"/>
      </rPr>
      <t xml:space="preserve"> </t>
    </r>
    <r>
      <rPr>
        <sz val="11"/>
        <rFont val="Calibri"/>
        <family val="2"/>
      </rPr>
      <t>Option to postpone all or part of the prenatal leave, in which case the number of days postponed will be accumulated for the postnatal leave.</t>
    </r>
  </si>
  <si>
    <r>
      <t>•</t>
    </r>
    <r>
      <rPr>
        <sz val="7"/>
        <rFont val="Times New Roman"/>
        <family val="1"/>
      </rPr>
      <t xml:space="preserve"> </t>
    </r>
    <r>
      <rPr>
        <sz val="11"/>
        <rFont val="Calibri"/>
        <family val="2"/>
      </rPr>
      <t>The State reimburses the employer for the amount of the remuneration paid for the loss of pre- and post-natal leave.</t>
    </r>
  </si>
  <si>
    <r>
      <t>•</t>
    </r>
    <r>
      <rPr>
        <sz val="7"/>
        <rFont val="Times New Roman"/>
        <family val="1"/>
      </rPr>
      <t xml:space="preserve"> </t>
    </r>
    <r>
      <rPr>
        <sz val="11"/>
        <rFont val="Calibri"/>
        <family val="2"/>
      </rPr>
      <t>49 days of postnatal leave.</t>
    </r>
  </si>
  <si>
    <r>
      <t>•</t>
    </r>
    <r>
      <rPr>
        <sz val="7"/>
        <rFont val="Times New Roman"/>
        <family val="1"/>
      </rPr>
      <t xml:space="preserve">  </t>
    </r>
    <r>
      <rPr>
        <sz val="11"/>
        <rFont val="Calibri"/>
        <family val="2"/>
      </rPr>
      <t>Maternity leave of 6 weeks before childbirth (prenatal leave).</t>
    </r>
  </si>
  <si>
    <r>
      <t>•</t>
    </r>
    <r>
      <rPr>
        <sz val="7"/>
        <rFont val="Times New Roman"/>
        <family val="1"/>
      </rPr>
      <t xml:space="preserve"> </t>
    </r>
    <r>
      <rPr>
        <sz val="11"/>
        <rFont val="Calibri"/>
        <family val="2"/>
      </rPr>
      <t>Remuneration for this period is paid by a state subsidy.</t>
    </r>
  </si>
  <si>
    <r>
      <t>•</t>
    </r>
    <r>
      <rPr>
        <sz val="7"/>
        <rFont val="Times New Roman"/>
        <family val="1"/>
      </rPr>
      <t xml:space="preserve"> </t>
    </r>
    <r>
      <rPr>
        <sz val="11"/>
        <rFont val="Calibri"/>
        <family val="2"/>
      </rPr>
      <t>In cases of multiple births or births of children with disabilities, postnatal leave will be extended for 30 additional calendar days.</t>
    </r>
  </si>
  <si>
    <r>
      <t>•</t>
    </r>
    <r>
      <rPr>
        <sz val="7"/>
        <rFont val="Times New Roman"/>
        <family val="1"/>
      </rPr>
      <t xml:space="preserve"> </t>
    </r>
    <r>
      <rPr>
        <sz val="11"/>
        <rFont val="Calibri"/>
        <family val="2"/>
      </rPr>
      <t>5 days of leave with pay in the event of the birth of a child, which may be used at the worker's discretion from the moment of delivery.</t>
    </r>
  </si>
  <si>
    <r>
      <t>•</t>
    </r>
    <r>
      <rPr>
        <sz val="7"/>
        <rFont val="Times New Roman"/>
        <family val="1"/>
      </rPr>
      <t xml:space="preserve"> </t>
    </r>
    <r>
      <rPr>
        <sz val="11"/>
        <rFont val="Calibri"/>
        <family val="2"/>
      </rPr>
      <t>Additional rest (postnatal parental leave) of 12 (full-time) or 18 (half-time) weeks after the postnatal leave.</t>
    </r>
  </si>
  <si>
    <r>
      <t>•</t>
    </r>
    <r>
      <rPr>
        <sz val="7"/>
        <rFont val="Times New Roman"/>
        <family val="1"/>
      </rPr>
      <t xml:space="preserve"> </t>
    </r>
    <r>
      <rPr>
        <sz val="11"/>
        <rFont val="Calibri"/>
        <family val="2"/>
      </rPr>
      <t>For both the postnatal and the parental postnatal, the remuneration is paid by state benefits.</t>
    </r>
  </si>
  <si>
    <r>
      <t>•</t>
    </r>
    <r>
      <rPr>
        <sz val="7"/>
        <rFont val="Times New Roman"/>
        <family val="1"/>
      </rPr>
      <t xml:space="preserve"> </t>
    </r>
    <r>
      <rPr>
        <sz val="11"/>
        <rFont val="Calibri"/>
        <family val="2"/>
      </rPr>
      <t>The female employee shall be granted at least 12 calendar weeks’ maternity leave with pay.</t>
    </r>
  </si>
  <si>
    <r>
      <t>•</t>
    </r>
    <r>
      <rPr>
        <sz val="7"/>
        <rFont val="Times New Roman"/>
        <family val="1"/>
      </rPr>
      <t xml:space="preserve"> </t>
    </r>
    <r>
      <rPr>
        <sz val="11"/>
        <rFont val="Calibri"/>
        <family val="2"/>
      </rPr>
      <t>A period of maternity leave after confinement shall be extended to 8 weeks where the confinement is abnormal or where in the course of confinement two or more babies are born.</t>
    </r>
  </si>
  <si>
    <r>
      <t>•</t>
    </r>
    <r>
      <rPr>
        <sz val="7"/>
        <rFont val="Times New Roman"/>
        <family val="1"/>
      </rPr>
      <t xml:space="preserve"> </t>
    </r>
    <r>
      <rPr>
        <sz val="11"/>
        <rFont val="Calibri"/>
        <family val="2"/>
      </rPr>
      <t>The female employee is provided with 4 consecutive months of Maternity Leave, which is inclusive of any Public Holidays.</t>
    </r>
  </si>
  <si>
    <r>
      <t>•</t>
    </r>
    <r>
      <rPr>
        <sz val="7"/>
        <rFont val="Times New Roman"/>
        <family val="1"/>
      </rPr>
      <t xml:space="preserve"> </t>
    </r>
    <r>
      <rPr>
        <sz val="11"/>
        <rFont val="Calibri"/>
        <family val="2"/>
      </rPr>
      <t>Paid maternity leave granted for four months which can be extended to a maximum period of 6 months with only four months remunerated.</t>
    </r>
  </si>
  <si>
    <r>
      <t>•</t>
    </r>
    <r>
      <rPr>
        <sz val="7"/>
        <rFont val="Times New Roman"/>
        <family val="1"/>
      </rPr>
      <t xml:space="preserve"> </t>
    </r>
    <r>
      <rPr>
        <sz val="11"/>
        <rFont val="Calibri"/>
        <family val="2"/>
      </rPr>
      <t>The additional 2 months may be taken from annual leave or unpaid leave.</t>
    </r>
  </si>
  <si>
    <r>
      <t>•</t>
    </r>
    <r>
      <rPr>
        <sz val="7"/>
        <rFont val="Times New Roman"/>
        <family val="1"/>
      </rPr>
      <t xml:space="preserve"> </t>
    </r>
    <r>
      <rPr>
        <sz val="11"/>
        <rFont val="Calibri"/>
        <family val="2"/>
      </rPr>
      <t>Alternatively, the 6 months can be taken at 67% of basic pay per month.</t>
    </r>
  </si>
  <si>
    <r>
      <t>•</t>
    </r>
    <r>
      <rPr>
        <sz val="7"/>
        <rFont val="Times New Roman"/>
        <family val="1"/>
      </rPr>
      <t xml:space="preserve"> </t>
    </r>
    <r>
      <rPr>
        <sz val="11"/>
        <rFont val="Calibri"/>
        <family val="2"/>
      </rPr>
      <t>Maternity leave must commence at least one (1) month before the expected confinement date and work resumption may not occur within six (6) consecutive weeks of actual confinement.</t>
    </r>
  </si>
  <si>
    <r>
      <t>•</t>
    </r>
    <r>
      <rPr>
        <sz val="7"/>
        <rFont val="Times New Roman"/>
        <family val="1"/>
      </rPr>
      <t xml:space="preserve"> </t>
    </r>
    <r>
      <rPr>
        <sz val="11"/>
        <rFont val="Calibri"/>
        <family val="2"/>
      </rPr>
      <t>18 weeks parental leave on full pay; or</t>
    </r>
  </si>
  <si>
    <r>
      <t>•</t>
    </r>
    <r>
      <rPr>
        <sz val="7"/>
        <rFont val="Times New Roman"/>
        <family val="1"/>
      </rPr>
      <t xml:space="preserve"> </t>
    </r>
    <r>
      <rPr>
        <sz val="11"/>
        <rFont val="Calibri"/>
        <family val="2"/>
      </rPr>
      <t>36 weeks parental leave on half pay.</t>
    </r>
  </si>
  <si>
    <r>
      <t>•</t>
    </r>
    <r>
      <rPr>
        <sz val="7"/>
        <rFont val="Times New Roman"/>
        <family val="1"/>
      </rPr>
      <t xml:space="preserve"> </t>
    </r>
    <r>
      <rPr>
        <sz val="11"/>
        <rFont val="Calibri"/>
        <family val="2"/>
      </rPr>
      <t>Where an employee experiences a stillbirth, the employee shall be eligible for 18 weeks Paid Parental leave. Where an employee experiences a miscarriage, the employee shall be eligible for 2 weeks Paid Parental Leave.</t>
    </r>
  </si>
  <si>
    <r>
      <t>•</t>
    </r>
    <r>
      <rPr>
        <sz val="7"/>
        <rFont val="Times New Roman"/>
        <family val="1"/>
      </rPr>
      <t xml:space="preserve"> </t>
    </r>
    <r>
      <rPr>
        <sz val="11"/>
        <rFont val="Calibri"/>
        <family val="2"/>
      </rPr>
      <t>Each eligible member of an employee couple may take a separate period of up to 12 months of unpaid parental leave. However, if only one person is taking leave or if one member of the employee couple wishes to take more than 12 months leave, the employee has a right to request a further period of 12 months from the Employer who shall consider the business impact and practicality of the request.</t>
    </r>
  </si>
  <si>
    <r>
      <t>•</t>
    </r>
    <r>
      <rPr>
        <sz val="7"/>
        <rFont val="Times New Roman"/>
        <family val="1"/>
      </rPr>
      <t xml:space="preserve"> </t>
    </r>
    <r>
      <rPr>
        <sz val="11"/>
        <rFont val="Calibri"/>
        <family val="2"/>
      </rPr>
      <t>If the employee who takes leave first is not pregnant their leave must start on the date of birth or placement of a child.</t>
    </r>
  </si>
  <si>
    <r>
      <t>•</t>
    </r>
    <r>
      <rPr>
        <sz val="7"/>
        <rFont val="Times New Roman"/>
        <family val="1"/>
      </rPr>
      <t xml:space="preserve"> </t>
    </r>
    <r>
      <rPr>
        <sz val="11"/>
        <rFont val="Calibri"/>
        <family val="2"/>
      </rPr>
      <t>Both employees of an employee couple may take leave at the same time. This leave must be taken within 12 months of the birth or adoption of a child. The concurrent leave may be taken in separate periods. Each period must be no shorter than 2 weeks unless agreed to by the Employer.</t>
    </r>
  </si>
  <si>
    <r>
      <t>•</t>
    </r>
    <r>
      <rPr>
        <sz val="7"/>
        <rFont val="Times New Roman"/>
        <family val="1"/>
      </rPr>
      <t xml:space="preserve"> </t>
    </r>
    <r>
      <rPr>
        <sz val="11"/>
        <rFont val="Calibri"/>
        <family val="2"/>
      </rPr>
      <t>a stillbirth.</t>
    </r>
  </si>
  <si>
    <r>
      <t>•</t>
    </r>
    <r>
      <rPr>
        <sz val="7"/>
        <rFont val="Times New Roman"/>
        <family val="1"/>
      </rPr>
      <t xml:space="preserve"> </t>
    </r>
    <r>
      <rPr>
        <sz val="11"/>
        <rFont val="Calibri"/>
        <family val="2"/>
      </rPr>
      <t>the death of a child during the first 24 months of life.</t>
    </r>
  </si>
  <si>
    <r>
      <t>•</t>
    </r>
    <r>
      <rPr>
        <sz val="7"/>
        <rFont val="Times New Roman"/>
        <family val="1"/>
      </rPr>
      <t xml:space="preserve"> </t>
    </r>
    <r>
      <rPr>
        <sz val="11"/>
        <rFont val="Calibri"/>
        <family val="2"/>
      </rPr>
      <t>a pregnancy related illness.</t>
    </r>
  </si>
  <si>
    <r>
      <t>•</t>
    </r>
    <r>
      <rPr>
        <sz val="7"/>
        <rFont val="Times New Roman"/>
        <family val="1"/>
      </rPr>
      <t xml:space="preserve"> </t>
    </r>
    <r>
      <rPr>
        <sz val="11"/>
        <rFont val="Calibri"/>
        <family val="2"/>
      </rPr>
      <t>where there have been medical or other complications and a doctor has recommended a period away from work after date of confinement. Consideration should be given to this request.</t>
    </r>
  </si>
  <si>
    <r>
      <t>•</t>
    </r>
    <r>
      <rPr>
        <sz val="7"/>
        <rFont val="Times New Roman"/>
        <family val="1"/>
      </rPr>
      <t xml:space="preserve"> </t>
    </r>
    <r>
      <rPr>
        <sz val="11"/>
        <rFont val="Calibri"/>
        <family val="2"/>
      </rPr>
      <t>Maternity Leave rules apply in the case of adoption or a court decision granting the personal care of a minor.</t>
    </r>
  </si>
  <si>
    <r>
      <t>•</t>
    </r>
    <r>
      <rPr>
        <sz val="7"/>
        <rFont val="Times New Roman"/>
        <family val="1"/>
      </rPr>
      <t xml:space="preserve"> </t>
    </r>
    <r>
      <rPr>
        <sz val="11"/>
        <rFont val="Calibri"/>
        <family val="2"/>
      </rPr>
      <t xml:space="preserve">Adoption Leave </t>
    </r>
    <r>
      <rPr>
        <sz val="8"/>
        <rFont val="Calibri"/>
        <family val="2"/>
      </rPr>
      <t> </t>
    </r>
    <r>
      <rPr>
        <sz val="11"/>
        <rFont val="Calibri"/>
        <family val="2"/>
      </rPr>
      <t>will be granted to an Employee who, in terms of the Child Care Act, legally adopts a child under the age of 2 years.</t>
    </r>
  </si>
  <si>
    <r>
      <t>•</t>
    </r>
    <r>
      <rPr>
        <sz val="7"/>
        <rFont val="Times New Roman"/>
        <family val="1"/>
      </rPr>
      <t xml:space="preserve"> </t>
    </r>
    <r>
      <rPr>
        <sz val="11"/>
        <rFont val="Calibri"/>
        <family val="2"/>
      </rPr>
      <t>The company will grant the employee with three months leave for the purpose of bonding with the adoptive child.</t>
    </r>
  </si>
  <si>
    <r>
      <t>•</t>
    </r>
    <r>
      <rPr>
        <sz val="7"/>
        <rFont val="Times New Roman"/>
        <family val="1"/>
      </rPr>
      <t xml:space="preserve"> </t>
    </r>
    <r>
      <rPr>
        <sz val="11"/>
        <rFont val="Calibri"/>
        <family val="2"/>
      </rPr>
      <t>Where both prospective parents are employed by the Company, only one parent will be granted Adoption Leave.</t>
    </r>
  </si>
  <si>
    <r>
      <t>•</t>
    </r>
    <r>
      <rPr>
        <sz val="7"/>
        <rFont val="Times New Roman"/>
        <family val="1"/>
      </rPr>
      <t xml:space="preserve"> </t>
    </r>
    <r>
      <rPr>
        <sz val="11"/>
        <rFont val="Calibri"/>
        <family val="2"/>
      </rPr>
      <t>Adoption Leave will be granted to an Employee who, in terms of the Child Care Act, legally adopts a child under the age of 2 years.</t>
    </r>
  </si>
  <si>
    <r>
      <t>•</t>
    </r>
    <r>
      <rPr>
        <sz val="7"/>
        <rFont val="Times New Roman"/>
        <family val="1"/>
      </rPr>
      <t xml:space="preserve"> </t>
    </r>
    <r>
      <rPr>
        <sz val="11"/>
        <rFont val="Calibri"/>
        <family val="2"/>
      </rPr>
      <t>Adoption leave may not exceed a maximum of ninety (90) consecutive days for an adopted child under one (1) -year of age and, thirty (30) consecutive days for a child aged between one (1) year and two (2) years of age.</t>
    </r>
  </si>
  <si>
    <r>
      <t>•</t>
    </r>
    <r>
      <rPr>
        <sz val="7"/>
        <rFont val="Times New Roman"/>
        <family val="1"/>
      </rPr>
      <t xml:space="preserve"> </t>
    </r>
    <r>
      <rPr>
        <sz val="11"/>
        <rFont val="Calibri"/>
        <family val="2"/>
      </rPr>
      <t>Adoption leave may be granted for a maximum of two adoptions per employee and only once in an annual leave cycle.</t>
    </r>
  </si>
  <si>
    <r>
      <t>•</t>
    </r>
    <r>
      <rPr>
        <sz val="7"/>
        <rFont val="Times New Roman"/>
        <family val="1"/>
      </rPr>
      <t xml:space="preserve"> </t>
    </r>
    <r>
      <rPr>
        <sz val="11"/>
        <rFont val="Calibri"/>
        <family val="2"/>
      </rPr>
      <t>Periods of adoption leave are regarded as Non-Leave Qualifying Shifts but do not interrupt employee service.</t>
    </r>
  </si>
  <si>
    <r>
      <t>•</t>
    </r>
    <r>
      <rPr>
        <sz val="7"/>
        <rFont val="Times New Roman"/>
        <family val="1"/>
      </rPr>
      <t xml:space="preserve"> </t>
    </r>
    <r>
      <rPr>
        <sz val="11"/>
        <rFont val="Calibri"/>
        <family val="2"/>
      </rPr>
      <t>An employee may cede her leave to the father for the period of 6 weeks full-time or 12 weeks half-time.</t>
    </r>
  </si>
  <si>
    <r>
      <t>•</t>
    </r>
    <r>
      <rPr>
        <sz val="7"/>
        <rFont val="Times New Roman"/>
        <family val="1"/>
      </rPr>
      <t xml:space="preserve"> </t>
    </r>
    <r>
      <rPr>
        <sz val="11"/>
        <rFont val="Calibri"/>
        <family val="2"/>
      </rPr>
      <t>The employee may cede her leave to the father for the period of 6 weeks full-time or 12 weeks half-time.</t>
    </r>
  </si>
  <si>
    <r>
      <t>•</t>
    </r>
    <r>
      <rPr>
        <sz val="7"/>
        <rFont val="Times New Roman"/>
        <family val="1"/>
      </rPr>
      <t xml:space="preserve"> </t>
    </r>
    <r>
      <rPr>
        <sz val="11"/>
        <rFont val="Calibri"/>
        <family val="2"/>
      </rPr>
      <t>An employee who is a commissioning parent in a surrogate motherhood agreement is entitled to commissioning parental leave of at least ten weeks consecutively.</t>
    </r>
  </si>
  <si>
    <r>
      <t>•</t>
    </r>
    <r>
      <rPr>
        <sz val="7"/>
        <rFont val="Times New Roman"/>
        <family val="1"/>
      </rPr>
      <t xml:space="preserve"> </t>
    </r>
    <r>
      <rPr>
        <sz val="11"/>
        <rFont val="Calibri"/>
        <family val="2"/>
      </rPr>
      <t>An employee may commence adoption leave on the date the child is born as a result of a surrogate motherhood agreement.</t>
    </r>
  </si>
  <si>
    <r>
      <t>•</t>
    </r>
    <r>
      <rPr>
        <sz val="7"/>
        <rFont val="Times New Roman"/>
        <family val="1"/>
      </rPr>
      <t xml:space="preserve"> </t>
    </r>
    <r>
      <rPr>
        <sz val="11"/>
        <rFont val="Calibri"/>
        <family val="2"/>
      </rPr>
      <t>If a surrogate motherhood agreement has two commissioning parents who work for the company, one of the commissioning parents is entitled to commissioning parental leave and the other commissioning parent is entitled to parental leave, the selection of choice must be exercised by the two commissioning parents.</t>
    </r>
  </si>
  <si>
    <r>
      <t>•</t>
    </r>
    <r>
      <rPr>
        <sz val="7"/>
        <rFont val="Times New Roman"/>
        <family val="1"/>
      </rPr>
      <t xml:space="preserve"> </t>
    </r>
    <r>
      <rPr>
        <sz val="11"/>
        <rFont val="Calibri"/>
        <family val="2"/>
      </rPr>
      <t>An employee who is a parent and who is not entitled to maternity leave/adoption leave is entitled to at least 10 consecutive days parental leave. An employee may commence parental leave on the day that the child is born, or the date that the adoption order is granted, or when a child is placed in the care of a prospective adoption parent by a competent court, pending the finalisation of an adoption order in respect of that order whichever occurs first.</t>
    </r>
  </si>
  <si>
    <r>
      <t>•</t>
    </r>
    <r>
      <rPr>
        <sz val="7"/>
        <rFont val="Times New Roman"/>
        <family val="1"/>
      </rPr>
      <t xml:space="preserve"> </t>
    </r>
    <r>
      <rPr>
        <sz val="11"/>
        <rFont val="Calibri"/>
        <family val="2"/>
      </rPr>
      <t>Male employees will be entitled to 10 working days unpaid Paternity Leave per annum on the birth of his child. Applications for Unpaid Parental leave must be submitted to line supervisors and must be accompanied by a copy of the applicable birth certificate(s).</t>
    </r>
  </si>
  <si>
    <r>
      <t>•</t>
    </r>
    <r>
      <rPr>
        <sz val="7"/>
        <rFont val="Times New Roman"/>
        <family val="1"/>
      </rPr>
      <t xml:space="preserve"> </t>
    </r>
    <r>
      <rPr>
        <sz val="11"/>
        <rFont val="Calibri"/>
        <family val="2"/>
      </rPr>
      <t>The South African high court recently ruled that both parents must have the right to time off after the birth of a baby or adopting a child. The judgment allows parents to choose how to divide four months parental leave between them. The Company has not yet adopted its policies to this ruling.</t>
    </r>
  </si>
  <si>
    <r>
      <t>•</t>
    </r>
    <r>
      <rPr>
        <sz val="7"/>
        <rFont val="Times New Roman"/>
        <family val="1"/>
      </rPr>
      <t xml:space="preserve"> </t>
    </r>
    <r>
      <rPr>
        <sz val="11"/>
        <rFont val="Calibri"/>
        <family val="2"/>
      </rPr>
      <t>The South African high court recently ruled that both parents must have the right to time off after the birth of a baby or adopting a child. The judgment allows parents to choose how to divide four months parental leave between them. The Company has not yet adopted its policies to this ruling</t>
    </r>
  </si>
  <si>
    <r>
      <t>•</t>
    </r>
    <r>
      <rPr>
        <sz val="7"/>
        <rFont val="Times New Roman"/>
        <family val="1"/>
      </rPr>
      <t xml:space="preserve"> </t>
    </r>
    <r>
      <rPr>
        <sz val="11"/>
        <rFont val="Calibri"/>
        <family val="2"/>
      </rPr>
      <t>6 weeks Partner Leave on full pay; and</t>
    </r>
  </si>
  <si>
    <r>
      <t>•</t>
    </r>
    <r>
      <rPr>
        <sz val="7"/>
        <rFont val="Times New Roman"/>
        <family val="1"/>
      </rPr>
      <t xml:space="preserve"> </t>
    </r>
    <r>
      <rPr>
        <sz val="11"/>
        <rFont val="Calibri"/>
        <family val="2"/>
      </rPr>
      <t>2 weeks paid leave using other existing entitlements (such as Annual Leave, Long Service Leave, Personal/Carer's Leave, or time off in lieu accruals) or alternatively 1 week's unpaid leave.</t>
    </r>
  </si>
  <si>
    <r>
      <t>•</t>
    </r>
    <r>
      <rPr>
        <sz val="7"/>
        <rFont val="Times New Roman"/>
        <family val="1"/>
      </rPr>
      <t xml:space="preserve"> </t>
    </r>
    <r>
      <rPr>
        <sz val="11"/>
        <rFont val="Calibri"/>
        <family val="2"/>
      </rPr>
      <t>The employee is entitled to 1 hour of daily breastfeeding time, until the child turns 1. In the case of multiple births, the allowance is extended by an additional hour.</t>
    </r>
  </si>
  <si>
    <r>
      <t>•</t>
    </r>
    <r>
      <rPr>
        <sz val="7"/>
        <rFont val="Times New Roman"/>
        <family val="1"/>
      </rPr>
      <t xml:space="preserve"> </t>
    </r>
    <r>
      <rPr>
        <sz val="11"/>
        <rFont val="Calibri"/>
        <family val="2"/>
      </rPr>
      <t>Breastfeeding allowance equivalent to US$215 granted by the state (one-time payment).</t>
    </r>
  </si>
  <si>
    <r>
      <t>•</t>
    </r>
    <r>
      <rPr>
        <sz val="7"/>
        <rFont val="Times New Roman"/>
        <family val="1"/>
      </rPr>
      <t xml:space="preserve"> </t>
    </r>
    <r>
      <rPr>
        <sz val="11"/>
        <rFont val="Calibri"/>
        <family val="2"/>
      </rPr>
      <t>For employees who reside in localities in Cerro Corona’s area of direct influence (Hualgayoc, Cajamarca), they are provided with 2 hours of breastfeeding per day so that they can travel to their homes.</t>
    </r>
  </si>
  <si>
    <r>
      <t>•</t>
    </r>
    <r>
      <rPr>
        <sz val="7"/>
        <rFont val="Times New Roman"/>
        <family val="1"/>
      </rPr>
      <t xml:space="preserve"> </t>
    </r>
    <r>
      <rPr>
        <sz val="11"/>
        <rFont val="Calibri"/>
        <family val="2"/>
      </rPr>
      <t>Lactation facilities have been established both at the mine and regional office.</t>
    </r>
  </si>
  <si>
    <r>
      <t>•</t>
    </r>
    <r>
      <rPr>
        <sz val="7"/>
        <rFont val="Times New Roman"/>
        <family val="1"/>
      </rPr>
      <t xml:space="preserve"> </t>
    </r>
    <r>
      <rPr>
        <sz val="11"/>
        <rFont val="Calibri"/>
        <family val="2"/>
      </rPr>
      <t>Breastfeeding room at the mine with all the comforts and equipment for working mothers. The purpose of this space is only to extract milk (it is not possible to take minors to the workplaces)</t>
    </r>
  </si>
  <si>
    <r>
      <t>•</t>
    </r>
    <r>
      <rPr>
        <sz val="7"/>
        <rFont val="Times New Roman"/>
        <family val="1"/>
      </rPr>
      <t xml:space="preserve"> </t>
    </r>
    <r>
      <rPr>
        <sz val="11"/>
        <rFont val="Calibri"/>
        <family val="2"/>
      </rPr>
      <t>A nursing mother shall be placed on an appropriate shift for 12 months after her confinement.</t>
    </r>
  </si>
  <si>
    <r>
      <t>•</t>
    </r>
    <r>
      <rPr>
        <sz val="7"/>
        <rFont val="Times New Roman"/>
        <family val="1"/>
      </rPr>
      <t xml:space="preserve"> </t>
    </r>
    <r>
      <rPr>
        <sz val="11"/>
        <rFont val="Calibri"/>
        <family val="2"/>
      </rPr>
      <t>On resumption of duties a nursing mother in the Staff category shall be granted 30 minutes twice a day for nursing her new-born child.</t>
    </r>
  </si>
  <si>
    <r>
      <t>•</t>
    </r>
    <r>
      <rPr>
        <sz val="7"/>
        <rFont val="Times New Roman"/>
        <family val="1"/>
      </rPr>
      <t xml:space="preserve"> </t>
    </r>
    <r>
      <rPr>
        <sz val="11"/>
        <rFont val="Calibri"/>
        <family val="2"/>
      </rPr>
      <t>A nursing mother in the Officials category shall be granted 45 minutes twice a day for nursing her new-born child. This arrangement will be terminated 12 months after the birth of the child.</t>
    </r>
  </si>
  <si>
    <r>
      <t>a.</t>
    </r>
    <r>
      <rPr>
        <sz val="7"/>
        <rFont val="Times New Roman"/>
        <family val="1"/>
      </rPr>
      <t xml:space="preserve"> </t>
    </r>
    <r>
      <rPr>
        <sz val="11"/>
        <rFont val="Calibri"/>
        <family val="2"/>
      </rPr>
      <t>Adopts a child that is aged up to 2 years of age.</t>
    </r>
  </si>
  <si>
    <r>
      <t>b.</t>
    </r>
    <r>
      <rPr>
        <sz val="7"/>
        <rFont val="Times New Roman"/>
        <family val="1"/>
      </rPr>
      <t xml:space="preserve"> </t>
    </r>
    <r>
      <rPr>
        <sz val="11"/>
        <rFont val="Calibri"/>
        <family val="2"/>
      </rPr>
      <t>Experiences (or partner experiences) a stillbirth.</t>
    </r>
  </si>
  <si>
    <r>
      <t>•</t>
    </r>
    <r>
      <rPr>
        <sz val="7"/>
        <rFont val="Times New Roman"/>
        <family val="1"/>
      </rPr>
      <t> </t>
    </r>
    <r>
      <rPr>
        <sz val="11"/>
        <rFont val="Calibri"/>
        <family val="2"/>
      </rPr>
      <t>Alternatively, the 6 months can be taken at 67% of basic pay per month.</t>
    </r>
  </si>
  <si>
    <r>
      <t>•</t>
    </r>
    <r>
      <rPr>
        <sz val="7"/>
        <rFont val="Times New Roman"/>
        <family val="1"/>
      </rPr>
      <t xml:space="preserve"> </t>
    </r>
    <r>
      <rPr>
        <sz val="11"/>
        <rFont val="Calibri"/>
        <family val="2"/>
      </rPr>
      <t>12 weeks postpartum rest (postnatal rest).</t>
    </r>
  </si>
  <si>
    <r>
      <rPr>
        <sz val="9"/>
        <color rgb="FF000000"/>
        <rFont val="Calibri"/>
        <family val="2"/>
      </rPr>
      <t>*</t>
    </r>
    <r>
      <rPr>
        <sz val="9"/>
        <color rgb="FF000000"/>
        <rFont val="Arial"/>
        <family val="2"/>
      </rPr>
      <t xml:space="preserve">Total hires = New appointment male + new appointement female + Rehire Male + Rehire female </t>
    </r>
  </si>
  <si>
    <t>EVP recruitment</t>
  </si>
  <si>
    <t>EVP external,CEO,CFO,EVP strat,legal</t>
  </si>
  <si>
    <t>Linkedln</t>
  </si>
  <si>
    <t>Direct (Self generated electricity)</t>
  </si>
  <si>
    <t>Indirect (Purchased electricity)</t>
  </si>
  <si>
    <t>Other Fuels² (TJ) Direct</t>
  </si>
  <si>
    <r>
      <t>Diesel Haulage (TJ)</t>
    </r>
    <r>
      <rPr>
        <sz val="9"/>
        <color theme="1"/>
        <rFont val="Calibri"/>
        <family val="2"/>
      </rPr>
      <t>³</t>
    </r>
    <r>
      <rPr>
        <sz val="9"/>
        <color theme="1"/>
        <rFont val="Arial"/>
        <family val="2"/>
      </rPr>
      <t xml:space="preserve"> Direct</t>
    </r>
  </si>
  <si>
    <r>
      <t>Electricity¹ (TJ)</t>
    </r>
    <r>
      <rPr>
        <sz val="9"/>
        <color theme="1"/>
        <rFont val="Calibri"/>
        <family val="2"/>
      </rPr>
      <t>³</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</si>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</sst>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_(* \(#,##0.00\);_(* &quot;-&quot;??_);_(@_)"/>
    <numFmt numFmtId="164" formatCode="#0;&quot;-&quot;#0;#0;_(@_)"/>
    <numFmt numFmtId="165" formatCode="#0.00;&quot;-&quot;#0.00;#0.00;_(@_)"/>
    <numFmt numFmtId="166" formatCode="#,##0;&quot;-&quot;#,##0;#,##0;_(@_)"/>
    <numFmt numFmtId="167" formatCode="* #,##0;* \(#,##0\);* &quot;—&quot;;_(@_)"/>
    <numFmt numFmtId="168" formatCode="#0.#######################%;&quot;-&quot;#0.#######################%;&quot;-&quot;\%;_(@_)"/>
    <numFmt numFmtId="169" formatCode="#0%;&quot;-&quot;#0%;&quot;—&quot;\%;_(@_)"/>
    <numFmt numFmtId="170" formatCode="#0.#######################;&quot;-&quot;#0.#######################;#0.#######################;_(@_)"/>
    <numFmt numFmtId="171" formatCode="#0.00%;&quot;-&quot;#0.00%;&quot;-&quot;\%;_(@_)"/>
    <numFmt numFmtId="172" formatCode="#0.00&quot; &quot;%;&quot;-&quot;#0.00&quot; &quot;%;&quot;—&quot;&quot; &quot;\%;_(@_)"/>
    <numFmt numFmtId="173" formatCode="#0.0&quot; &quot;%;&quot;-&quot;#0.0&quot; &quot;%;&quot;—&quot;&quot; &quot;\%;_(@_)"/>
    <numFmt numFmtId="174" formatCode="#0.0;&quot;-&quot;#0.0;#0.0;_(@_)"/>
    <numFmt numFmtId="175" formatCode="#,##0;\(#,##0\);&quot;—&quot;;_(@_)"/>
    <numFmt numFmtId="176" formatCode="#,##0.00;\(#,##0.00\);&quot;—&quot;;_(@_)"/>
    <numFmt numFmtId="177" formatCode="#,##0.00;&quot;-&quot;#,##0.00;#,##0.00;_(@_)"/>
    <numFmt numFmtId="178" formatCode="* #,##0;* \(#,##0\);* &quot;-&quot;;_(@_)"/>
    <numFmt numFmtId="179" formatCode="#0%;&quot;-&quot;#0%;&quot;-&quot;\%;_(@_)"/>
    <numFmt numFmtId="180" formatCode="#0%;&quot;-&quot;#0%;#0%;_(@_)"/>
    <numFmt numFmtId="181" formatCode="#0_)%;\(#0\)%;&quot;—&quot;_)\%;_(@_)"/>
    <numFmt numFmtId="182" formatCode="#,##0.0;&quot;-&quot;#,##0.0;#,##0.0;_(@_)"/>
    <numFmt numFmtId="183" formatCode="#0_)%;\(#0\)%;&quot;-&quot;_)\%;_(@_)"/>
    <numFmt numFmtId="184" formatCode="* #,##0;* &quot;-&quot;#,##0;* &quot;—&quot;;_(@_)"/>
    <numFmt numFmtId="185" formatCode="* #,##0.00;* \(#,##0.00\);* &quot;—&quot;;_(@_)"/>
    <numFmt numFmtId="186" formatCode="* #,##0.00;* \(#,##0.00\);* &quot;-&quot;;_(@_)"/>
    <numFmt numFmtId="187" formatCode="0.0%"/>
  </numFmts>
  <fonts count="107">
    <font>
      <sz val="10"/>
      <name val="Arial"/>
    </font>
    <font>
      <sz val="9"/>
      <color rgb="FFFF0090"/>
      <name val="Arial"/>
      <family val="2"/>
    </font>
    <font>
      <sz val="8.5"/>
      <color rgb="FF002755"/>
      <name val="Proxima Nova Semibold"/>
    </font>
    <font>
      <sz val="8"/>
      <color rgb="FF4A4A49"/>
      <name val="Proxima Nova"/>
    </font>
    <font>
      <sz val="8.75"/>
      <color rgb="FF4A4A49"/>
      <name val="Proxima Nova Lt"/>
    </font>
    <font>
      <b/>
      <sz val="13"/>
      <color rgb="FF002F67"/>
      <name val="Proxima Nova"/>
    </font>
    <font>
      <sz val="11"/>
      <color rgb="FF002659"/>
      <name val="Proxima Nova Semibold"/>
    </font>
    <font>
      <b/>
      <sz val="16"/>
      <color rgb="FF002659"/>
      <name val="Proxima Nova"/>
    </font>
    <font>
      <b/>
      <sz val="8"/>
      <color rgb="FF002659"/>
      <name val="Proxima Nova"/>
    </font>
    <font>
      <b/>
      <sz val="14"/>
      <color rgb="FF002659"/>
      <name val="Proxima Nova"/>
    </font>
    <font>
      <i/>
      <sz val="8.75"/>
      <color rgb="FFC8A064"/>
      <name val="Proxima Nova Medium"/>
    </font>
    <font>
      <i/>
      <sz val="8"/>
      <color rgb="FF4A4A49"/>
      <name val="Proxima Nova"/>
    </font>
    <font>
      <sz val="9"/>
      <color rgb="FF002659"/>
      <name val="Proxima Nova Lt"/>
    </font>
    <font>
      <b/>
      <sz val="9"/>
      <color rgb="FF4A4A49"/>
      <name val="Proxima Nova"/>
    </font>
    <font>
      <b/>
      <sz val="9"/>
      <color rgb="FFFFFFFF"/>
      <name val="Arial"/>
      <family val="2"/>
    </font>
    <font>
      <b/>
      <sz val="8.75"/>
      <color rgb="FF002659"/>
      <name val="Proxima Nova"/>
    </font>
    <font>
      <sz val="16"/>
      <color rgb="FFC8A064"/>
      <name val="Proxima Nova"/>
    </font>
    <font>
      <b/>
      <sz val="20"/>
      <color rgb="FF002659"/>
      <name val="Proxima Nova"/>
    </font>
    <font>
      <i/>
      <sz val="7"/>
      <color rgb="FF4C4C4E"/>
      <name val="Proxima Nova"/>
    </font>
    <font>
      <sz val="7"/>
      <color rgb="FF4A4A49"/>
      <name val="Proxima Nova Lt"/>
    </font>
    <font>
      <b/>
      <sz val="8.75"/>
      <color rgb="FFFFFFFF"/>
      <name val="Proxima Nova"/>
    </font>
    <font>
      <b/>
      <sz val="16"/>
      <color rgb="FFFFFFFF"/>
      <name val="Proxima Nova"/>
    </font>
    <font>
      <b/>
      <sz val="8"/>
      <color rgb="FFFFFFFF"/>
      <name val="Proxima Nova"/>
    </font>
    <font>
      <i/>
      <sz val="8.75"/>
      <color rgb="FF4A4A49"/>
      <name val="Proxima Nova"/>
    </font>
    <font>
      <sz val="7"/>
      <color rgb="FF002755"/>
      <name val="Proxima Nova Semibold"/>
    </font>
    <font>
      <sz val="14"/>
      <color rgb="FF002755"/>
      <name val="Proxima Nova Semibold"/>
    </font>
    <font>
      <sz val="7"/>
      <color rgb="FFFFFFFF"/>
      <name val="Proxima Nova Semibold"/>
    </font>
    <font>
      <i/>
      <sz val="9"/>
      <color rgb="FF4A4A49"/>
      <name val="Proxima Nova Rg"/>
    </font>
    <font>
      <sz val="11.5"/>
      <color rgb="FFC8A064"/>
      <name val="Proxima Nova Semibold"/>
    </font>
    <font>
      <b/>
      <sz val="7"/>
      <color rgb="FF002659"/>
      <name val="Proxima Nova"/>
    </font>
    <font>
      <sz val="20"/>
      <color rgb="FF002659"/>
      <name val="Proxima Nova Extrabold"/>
    </font>
    <font>
      <sz val="10"/>
      <color rgb="FF000000"/>
      <name val="Proxima Nova Semibold"/>
    </font>
    <font>
      <b/>
      <sz val="12"/>
      <color rgb="FF000000"/>
      <name val="Arial"/>
      <family val="2"/>
    </font>
    <font>
      <sz val="9"/>
      <color rgb="FF000000"/>
      <name val="Arial"/>
      <family val="2"/>
    </font>
    <font>
      <sz val="11"/>
      <color rgb="FF000000"/>
      <name val="Calibri"/>
      <family val="2"/>
    </font>
    <font>
      <sz val="9"/>
      <color rgb="FF000000"/>
      <name val="Calibri"/>
      <family val="2"/>
    </font>
    <font>
      <b/>
      <sz val="9"/>
      <color rgb="FFF7F5F1"/>
      <name val="Arial"/>
      <family val="2"/>
    </font>
    <font>
      <b/>
      <sz val="9"/>
      <color rgb="FF4C4C4E"/>
      <name val="Arial"/>
      <family val="2"/>
    </font>
    <font>
      <b/>
      <sz val="9"/>
      <color rgb="FF000000"/>
      <name val="Arial"/>
      <family val="2"/>
    </font>
    <font>
      <sz val="8"/>
      <color rgb="FF000000"/>
      <name val="Arial"/>
      <family val="2"/>
    </font>
    <font>
      <sz val="9"/>
      <color rgb="FF4C4C4E"/>
      <name val="Arial"/>
      <family val="2"/>
    </font>
    <font>
      <b/>
      <sz val="8"/>
      <color rgb="FF000000"/>
      <name val="Arial"/>
      <family val="2"/>
    </font>
    <font>
      <u/>
      <sz val="11"/>
      <color rgb="FF0563C1"/>
      <name val="Calibri"/>
      <family val="2"/>
    </font>
    <font>
      <b/>
      <sz val="9"/>
      <color rgb="FFFF0000"/>
      <name val="Arial"/>
      <family val="2"/>
    </font>
    <font>
      <sz val="9"/>
      <color rgb="FF242424"/>
      <name val="Arial"/>
      <family val="2"/>
    </font>
    <font>
      <b/>
      <sz val="9"/>
      <color rgb="FFF2F2F2"/>
      <name val="Arial"/>
      <family val="2"/>
    </font>
    <font>
      <b/>
      <sz val="11"/>
      <color rgb="FF000000"/>
      <name val="Calibri"/>
      <family val="2"/>
    </font>
    <font>
      <b/>
      <sz val="9"/>
      <color rgb="FF00B050"/>
      <name val="Arial"/>
      <family val="2"/>
    </font>
    <font>
      <sz val="8"/>
      <color rgb="FFFF0000"/>
      <name val="Arial"/>
      <family val="2"/>
    </font>
    <font>
      <b/>
      <sz val="11"/>
      <color rgb="FF000000"/>
      <name val="Arial"/>
      <family val="2"/>
    </font>
    <font>
      <sz val="11"/>
      <color rgb="FF000000"/>
      <name val="Arial"/>
      <family val="2"/>
    </font>
    <font>
      <b/>
      <sz val="9"/>
      <color rgb="FF242424"/>
      <name val="Arial"/>
      <family val="2"/>
    </font>
    <font>
      <sz val="8"/>
      <color rgb="FF242424"/>
      <name val="Arial"/>
      <family val="2"/>
    </font>
    <font>
      <b/>
      <sz val="8"/>
      <color rgb="FF242424"/>
      <name val="Arial"/>
      <family val="2"/>
    </font>
    <font>
      <sz val="8"/>
      <color rgb="FF262626"/>
      <name val="Arial"/>
      <family val="2"/>
    </font>
    <font>
      <b/>
      <u/>
      <sz val="9"/>
      <color rgb="FF000000"/>
      <name val="Arial"/>
      <family val="2"/>
    </font>
    <font>
      <i/>
      <sz val="8"/>
      <color rgb="FF000000"/>
      <name val="Arial"/>
      <family val="2"/>
    </font>
    <font>
      <sz val="10"/>
      <color rgb="FF000000"/>
      <name val="Times New Roman"/>
      <family val="1"/>
    </font>
    <font>
      <sz val="9"/>
      <color rgb="FFFFFFFF"/>
      <name val="Arial"/>
      <family val="2"/>
    </font>
    <font>
      <sz val="9"/>
      <color rgb="FFC00000"/>
      <name val="Arial"/>
      <family val="2"/>
    </font>
    <font>
      <sz val="9"/>
      <color rgb="FF000000"/>
      <name val="Proxima Nova Lt"/>
    </font>
    <font>
      <b/>
      <sz val="9"/>
      <color rgb="FFF7F5F1"/>
      <name val="Calibri"/>
      <family val="2"/>
    </font>
    <font>
      <b/>
      <vertAlign val="superscript"/>
      <sz val="9"/>
      <color rgb="FFF7F5F1"/>
      <name val="Arial"/>
      <family val="2"/>
    </font>
    <font>
      <vertAlign val="superscript"/>
      <sz val="9"/>
      <color rgb="FF000000"/>
      <name val="Arial"/>
      <family val="2"/>
    </font>
    <font>
      <sz val="8"/>
      <color rgb="FF000000"/>
      <name val="Calibri"/>
      <family val="2"/>
    </font>
    <font>
      <vertAlign val="superscript"/>
      <sz val="8"/>
      <color rgb="FF000000"/>
      <name val="Arial"/>
      <family val="2"/>
    </font>
    <font>
      <vertAlign val="superscript"/>
      <sz val="8"/>
      <color rgb="FF000000"/>
      <name val="Calibri"/>
      <family val="2"/>
    </font>
    <font>
      <b/>
      <sz val="9"/>
      <color rgb="FF4C4C4E"/>
      <name val="Calibri"/>
      <family val="2"/>
    </font>
    <font>
      <b/>
      <vertAlign val="subscript"/>
      <sz val="9"/>
      <color rgb="FFFFFFFF"/>
      <name val="Arial"/>
      <family val="2"/>
    </font>
    <font>
      <b/>
      <sz val="9"/>
      <color rgb="FFFFFFFF"/>
      <name val="Calibri"/>
      <family val="2"/>
    </font>
    <font>
      <b/>
      <sz val="9"/>
      <color rgb="FF000000"/>
      <name val="Calibri"/>
      <family val="2"/>
    </font>
    <font>
      <vertAlign val="subscript"/>
      <sz val="8"/>
      <color rgb="FF000000"/>
      <name val="Arial"/>
      <family val="2"/>
    </font>
    <font>
      <vertAlign val="subscript"/>
      <sz val="9"/>
      <color rgb="FF000000"/>
      <name val="Arial"/>
      <family val="2"/>
    </font>
    <font>
      <b/>
      <strike/>
      <sz val="9"/>
      <color rgb="FFFF0000"/>
      <name val="Arial"/>
      <family val="2"/>
    </font>
    <font>
      <b/>
      <vertAlign val="superscript"/>
      <sz val="9"/>
      <color rgb="FFFFFFFF"/>
      <name val="Arial"/>
      <family val="2"/>
    </font>
    <font>
      <b/>
      <sz val="11"/>
      <color rgb="FFFFFFFF"/>
      <name val="Calibri"/>
      <family val="2"/>
    </font>
    <font>
      <sz val="9"/>
      <color rgb="FF242424"/>
      <name val="Calibri"/>
      <family val="2"/>
    </font>
    <font>
      <i/>
      <sz val="8"/>
      <color rgb="FF000000"/>
      <name val="Calibri"/>
      <family val="2"/>
    </font>
    <font>
      <u/>
      <sz val="10"/>
      <color theme="10"/>
      <name val="Arial"/>
      <family val="2"/>
    </font>
    <font>
      <u/>
      <sz val="9"/>
      <color rgb="FF0070C0"/>
      <name val="Arial"/>
      <family val="2"/>
    </font>
    <font>
      <sz val="9"/>
      <color rgb="FF0070C0"/>
      <name val="Arial"/>
      <family val="2"/>
    </font>
    <font>
      <b/>
      <sz val="9"/>
      <color theme="1"/>
      <name val="Arial"/>
      <family val="2"/>
    </font>
    <font>
      <sz val="10"/>
      <name val="Arial"/>
      <family val="2"/>
    </font>
    <font>
      <b/>
      <sz val="20"/>
      <color rgb="FF002659"/>
      <name val="Arial"/>
      <family val="2"/>
    </font>
    <font>
      <sz val="8.75"/>
      <color rgb="FF4A4A49"/>
      <name val="Arial"/>
      <family val="2"/>
    </font>
    <font>
      <b/>
      <sz val="8.75"/>
      <color rgb="FF4A4A49"/>
      <name val="Arial"/>
      <family val="2"/>
    </font>
    <font>
      <b/>
      <sz val="9"/>
      <color theme="1" tint="4.9989318521683403E-2"/>
      <name val="Arial"/>
      <family val="2"/>
    </font>
    <font>
      <sz val="8.75"/>
      <color theme="7" tint="-0.249977111117893"/>
      <name val="Arial"/>
      <family val="2"/>
    </font>
    <font>
      <sz val="9"/>
      <color rgb="FF4A4A49"/>
      <name val="Arial"/>
      <family val="2"/>
    </font>
    <font>
      <b/>
      <sz val="9"/>
      <color rgb="FF4A4A49"/>
      <name val="Arial"/>
      <family val="2"/>
    </font>
    <font>
      <sz val="8.75"/>
      <color theme="7" tint="0.39997558519241921"/>
      <name val="Arial"/>
      <family val="2"/>
    </font>
    <font>
      <sz val="8.75"/>
      <color rgb="FF0070C0"/>
      <name val="Arial"/>
      <family val="2"/>
    </font>
    <font>
      <sz val="10"/>
      <name val="Arial"/>
      <family val="2"/>
    </font>
    <font>
      <sz val="10"/>
      <color theme="1"/>
      <name val="Arial"/>
      <family val="2"/>
    </font>
    <font>
      <sz val="9"/>
      <color theme="1"/>
      <name val="Arial"/>
      <family val="2"/>
    </font>
    <font>
      <sz val="9"/>
      <color theme="1"/>
      <name val="Calibri"/>
      <family val="2"/>
    </font>
    <font>
      <vertAlign val="superscript"/>
      <sz val="9"/>
      <color theme="1"/>
      <name val="Arial"/>
      <family val="2"/>
    </font>
    <font>
      <vertAlign val="superscript"/>
      <sz val="9"/>
      <color theme="1"/>
      <name val="Calibri"/>
      <family val="2"/>
    </font>
    <font>
      <b/>
      <vertAlign val="superscript"/>
      <sz val="9"/>
      <color theme="1"/>
      <name val="Calibri"/>
      <family val="2"/>
    </font>
    <font>
      <sz val="10"/>
      <name val="Arial"/>
      <family val="2"/>
    </font>
    <font>
      <sz val="11"/>
      <name val="Calibri"/>
      <family val="2"/>
    </font>
    <font>
      <b/>
      <sz val="11"/>
      <name val="Calibri"/>
      <family val="2"/>
    </font>
    <font>
      <sz val="7"/>
      <name val="Times New Roman"/>
      <family val="1"/>
    </font>
    <font>
      <sz val="8"/>
      <name val="Calibri"/>
      <family val="2"/>
    </font>
    <font>
      <sz val="10"/>
      <name val="Calibri"/>
      <family val="2"/>
    </font>
    <font>
      <sz val="10"/>
      <color theme="0"/>
      <name val="Arial"/>
      <family val="2"/>
    </font>
    <font>
      <sz val="9"/>
      <name val="Arial"/>
      <family val="2"/>
    </font>
  </fonts>
  <fills count="21">
    <fill>
      <patternFill patternType="none"/>
    </fill>
    <fill>
      <patternFill patternType="gray125"/>
    </fill>
    <fill>
      <patternFill patternType="solid">
        <fgColor rgb="FFFFFFFF"/>
        <bgColor indexed="64"/>
      </patternFill>
    </fill>
    <fill>
      <patternFill patternType="solid">
        <fgColor rgb="FF002755"/>
        <bgColor indexed="64"/>
      </patternFill>
    </fill>
    <fill>
      <patternFill patternType="solid">
        <fgColor rgb="FF4F74AE"/>
        <bgColor indexed="64"/>
      </patternFill>
    </fill>
    <fill>
      <patternFill patternType="solid">
        <fgColor rgb="FFE7F1F7"/>
        <bgColor indexed="64"/>
      </patternFill>
    </fill>
    <fill>
      <patternFill patternType="solid">
        <fgColor rgb="FFDAEDEA"/>
        <bgColor indexed="64"/>
      </patternFill>
    </fill>
    <fill>
      <patternFill patternType="solid">
        <fgColor rgb="FFE6F1F8"/>
        <bgColor indexed="64"/>
      </patternFill>
    </fill>
    <fill>
      <patternFill patternType="solid">
        <fgColor rgb="FF23559F"/>
        <bgColor indexed="64"/>
      </patternFill>
    </fill>
    <fill>
      <patternFill patternType="solid">
        <fgColor rgb="FFD9E2EE"/>
        <bgColor indexed="64"/>
      </patternFill>
    </fill>
    <fill>
      <patternFill patternType="solid">
        <fgColor rgb="FF002F66"/>
        <bgColor indexed="64"/>
      </patternFill>
    </fill>
    <fill>
      <patternFill patternType="solid">
        <fgColor rgb="FFE7E6E6"/>
        <bgColor indexed="64"/>
      </patternFill>
    </fill>
    <fill>
      <patternFill patternType="solid">
        <fgColor rgb="FFFFFF00"/>
        <bgColor indexed="64"/>
      </patternFill>
    </fill>
    <fill>
      <patternFill patternType="solid">
        <fgColor rgb="FFFF0000"/>
        <bgColor indexed="64"/>
      </patternFill>
    </fill>
    <fill>
      <patternFill patternType="solid">
        <fgColor rgb="FF44546A"/>
        <bgColor indexed="64"/>
      </patternFill>
    </fill>
    <fill>
      <patternFill patternType="solid">
        <fgColor rgb="FF92D050"/>
        <bgColor indexed="64"/>
      </patternFill>
    </fill>
    <fill>
      <patternFill patternType="solid">
        <fgColor rgb="FF002060"/>
        <bgColor indexed="64"/>
      </patternFill>
    </fill>
    <fill>
      <patternFill patternType="solid">
        <fgColor rgb="FFF2F2F2"/>
        <bgColor indexed="64"/>
      </patternFill>
    </fill>
    <fill>
      <patternFill patternType="solid">
        <fgColor rgb="FFE7F2F7"/>
        <bgColor indexed="64"/>
      </patternFill>
    </fill>
    <fill>
      <patternFill patternType="solid">
        <fgColor theme="0"/>
        <bgColor indexed="64"/>
      </patternFill>
    </fill>
    <fill>
      <patternFill patternType="solid">
        <fgColor theme="2"/>
        <bgColor indexed="64"/>
      </patternFill>
    </fill>
  </fills>
  <borders count="60">
    <border>
      <left/>
      <right/>
      <top/>
      <bottom/>
      <diagonal/>
    </border>
    <border>
      <left/>
      <right/>
      <top/>
      <bottom style="thin">
        <color rgb="FF9D9C9C"/>
      </bottom>
      <diagonal/>
    </border>
    <border>
      <left/>
      <right/>
      <top/>
      <bottom style="thin">
        <color rgb="FF929292"/>
      </bottom>
      <diagonal/>
    </border>
    <border>
      <left/>
      <right/>
      <top style="thin">
        <color rgb="FF9D9C9C"/>
      </top>
      <bottom/>
      <diagonal/>
    </border>
    <border>
      <left/>
      <right/>
      <top style="thin">
        <color rgb="FF929292"/>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929292"/>
      </right>
      <top/>
      <bottom style="thin">
        <color rgb="FF929292"/>
      </bottom>
      <diagonal/>
    </border>
    <border>
      <left/>
      <right/>
      <top style="thin">
        <color rgb="FF929292"/>
      </top>
      <bottom style="thin">
        <color rgb="FF929292"/>
      </bottom>
      <diagonal/>
    </border>
    <border>
      <left/>
      <right style="thin">
        <color rgb="FF929292"/>
      </right>
      <top style="thin">
        <color rgb="FF929292"/>
      </top>
      <bottom style="thin">
        <color rgb="FF929292"/>
      </bottom>
      <diagonal/>
    </border>
    <border>
      <left style="thin">
        <color rgb="FF929292"/>
      </left>
      <right/>
      <top/>
      <bottom/>
      <diagonal/>
    </border>
    <border>
      <left/>
      <right/>
      <top style="thin">
        <color rgb="FF4C4C4E"/>
      </top>
      <bottom style="medium">
        <color rgb="FF4C4C4E"/>
      </bottom>
      <diagonal/>
    </border>
    <border>
      <left/>
      <right/>
      <top style="medium">
        <color rgb="FF4C4C4E"/>
      </top>
      <bottom/>
      <diagonal/>
    </border>
    <border>
      <left/>
      <right/>
      <top/>
      <bottom style="thin">
        <color rgb="FF4C4C4E"/>
      </bottom>
      <diagonal/>
    </border>
    <border>
      <left/>
      <right/>
      <top style="medium">
        <color rgb="FF4C4C4E"/>
      </top>
      <bottom style="medium">
        <color rgb="FF4C4C4E"/>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style="thin">
        <color rgb="FF4C4C4E"/>
      </bottom>
      <diagonal/>
    </border>
    <border>
      <left style="medium">
        <color rgb="FF000000"/>
      </left>
      <right/>
      <top style="thin">
        <color rgb="FF4C4C4E"/>
      </top>
      <bottom style="medium">
        <color rgb="FF000000"/>
      </bottom>
      <diagonal/>
    </border>
    <border>
      <left/>
      <right/>
      <top style="thin">
        <color rgb="FF4C4C4E"/>
      </top>
      <bottom style="medium">
        <color rgb="FF000000"/>
      </bottom>
      <diagonal/>
    </border>
    <border>
      <left/>
      <right/>
      <top style="thin">
        <color rgb="FF000000"/>
      </top>
      <bottom style="medium">
        <color rgb="FF4C4C4E"/>
      </bottom>
      <diagonal/>
    </border>
    <border>
      <left/>
      <right/>
      <top style="medium">
        <color rgb="FF000000"/>
      </top>
      <bottom style="medium">
        <color rgb="FF000000"/>
      </bottom>
      <diagonal/>
    </border>
    <border>
      <left/>
      <right/>
      <top/>
      <bottom style="medium">
        <color rgb="FF4C4C4E"/>
      </bottom>
      <diagonal/>
    </border>
    <border>
      <left/>
      <right/>
      <top style="thin">
        <color rgb="FF4C4C4E"/>
      </top>
      <bottom style="thin">
        <color rgb="FF000000"/>
      </bottom>
      <diagonal/>
    </border>
    <border>
      <left/>
      <right/>
      <top style="thin">
        <color rgb="FF000000"/>
      </top>
      <bottom style="medium">
        <color rgb="FF000000"/>
      </bottom>
      <diagonal/>
    </border>
    <border>
      <left/>
      <right/>
      <top style="medium">
        <color rgb="FF000000"/>
      </top>
      <bottom style="thin">
        <color rgb="FF000000"/>
      </bottom>
      <diagonal/>
    </border>
    <border>
      <left/>
      <right/>
      <top style="thin">
        <color rgb="FF4C4C4E"/>
      </top>
      <bottom style="thin">
        <color rgb="FF4C4C4E"/>
      </bottom>
      <diagonal/>
    </border>
    <border>
      <left/>
      <right/>
      <top style="medium">
        <color rgb="FF4C4C4E"/>
      </top>
      <bottom style="thin">
        <color rgb="FF4C4C4E"/>
      </bottom>
      <diagonal/>
    </border>
    <border>
      <left/>
      <right/>
      <top style="thin">
        <color rgb="FF4C4C4E"/>
      </top>
      <bottom/>
      <diagonal/>
    </border>
    <border>
      <left/>
      <right/>
      <top/>
      <bottom style="thin">
        <color rgb="FFBDD7EE"/>
      </bottom>
      <diagonal/>
    </border>
    <border>
      <left/>
      <right/>
      <top style="thin">
        <color rgb="FFBDD7EE"/>
      </top>
      <bottom/>
      <diagonal/>
    </border>
    <border>
      <left style="medium">
        <color rgb="FF5B9BD5"/>
      </left>
      <right/>
      <top/>
      <bottom/>
      <diagonal/>
    </border>
    <border>
      <left/>
      <right/>
      <top/>
      <bottom style="thin">
        <color theme="2" tint="-0.249977111117893"/>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right/>
      <top/>
      <bottom style="thin">
        <color theme="1" tint="0.499984740745262"/>
      </bottom>
      <diagonal/>
    </border>
    <border>
      <left/>
      <right/>
      <top style="thin">
        <color theme="1" tint="0.499984740745262"/>
      </top>
      <bottom/>
      <diagonal/>
    </border>
    <border>
      <left/>
      <right/>
      <top style="thin">
        <color theme="0" tint="-0.499984740745262"/>
      </top>
      <bottom style="thin">
        <color theme="1" tint="0.499984740745262"/>
      </bottom>
      <diagonal/>
    </border>
    <border>
      <left/>
      <right/>
      <top/>
      <bottom style="thin">
        <color indexed="64"/>
      </bottom>
      <diagonal/>
    </border>
    <border>
      <left/>
      <right/>
      <top/>
      <bottom style="thin">
        <color theme="1" tint="0.3499862666707357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s>
  <cellStyleXfs count="39">
    <xf numFmtId="0" fontId="0" fillId="0" borderId="0"/>
    <xf numFmtId="0" fontId="1" fillId="0" borderId="0" applyBorder="0">
      <alignment horizontal="left" wrapText="1"/>
    </xf>
    <xf numFmtId="0" fontId="2" fillId="0" borderId="0" applyBorder="0">
      <alignment horizontal="left" wrapText="1"/>
    </xf>
    <xf numFmtId="0" fontId="3" fillId="0" borderId="0" applyBorder="0">
      <alignment horizontal="left" wrapText="1"/>
    </xf>
    <xf numFmtId="0" fontId="4" fillId="0" borderId="0" applyBorder="0">
      <alignment horizontal="left" wrapText="1"/>
    </xf>
    <xf numFmtId="0" fontId="5" fillId="0" borderId="0" applyBorder="0">
      <alignment horizontal="left" wrapText="1"/>
    </xf>
    <xf numFmtId="0" fontId="6" fillId="0" borderId="0" applyBorder="0">
      <alignment horizontal="left" wrapText="1"/>
    </xf>
    <xf numFmtId="0" fontId="3" fillId="0" borderId="0" applyBorder="0">
      <alignment horizontal="left" wrapText="1"/>
    </xf>
    <xf numFmtId="0" fontId="7" fillId="0" borderId="0" applyBorder="0">
      <alignment horizontal="left" wrapText="1"/>
    </xf>
    <xf numFmtId="0" fontId="8" fillId="0" borderId="0" applyBorder="0">
      <alignment horizontal="left" wrapText="1"/>
    </xf>
    <xf numFmtId="0" fontId="8" fillId="0" borderId="0" applyBorder="0">
      <alignment horizontal="left" wrapText="1"/>
    </xf>
    <xf numFmtId="0" fontId="9" fillId="0" borderId="0" applyBorder="0">
      <alignment horizontal="left" wrapText="1"/>
    </xf>
    <xf numFmtId="0" fontId="10" fillId="0" borderId="0" applyBorder="0">
      <alignment horizontal="left" wrapText="1"/>
    </xf>
    <xf numFmtId="0" fontId="11" fillId="0" borderId="0" applyBorder="0">
      <alignment wrapText="1"/>
    </xf>
    <xf numFmtId="0" fontId="12" fillId="0" borderId="0" applyBorder="0">
      <alignment horizontal="left" wrapText="1"/>
    </xf>
    <xf numFmtId="0" fontId="14" fillId="0" borderId="0" applyBorder="0">
      <alignment wrapText="1"/>
    </xf>
    <xf numFmtId="0" fontId="15" fillId="0" borderId="0" applyBorder="0">
      <alignment horizontal="right" wrapText="1"/>
    </xf>
    <xf numFmtId="0" fontId="4" fillId="0" borderId="0" applyBorder="0">
      <alignment horizontal="left" wrapText="1" indent="1"/>
    </xf>
    <xf numFmtId="0" fontId="16" fillId="0" borderId="0" applyBorder="0">
      <alignment horizontal="left" wrapText="1"/>
    </xf>
    <xf numFmtId="0" fontId="18" fillId="0" borderId="0" applyBorder="0">
      <alignment horizontal="left" wrapText="1" indent="1"/>
    </xf>
    <xf numFmtId="0" fontId="19" fillId="0" borderId="0" applyBorder="0">
      <alignment horizontal="left" wrapText="1"/>
    </xf>
    <xf numFmtId="0" fontId="4" fillId="0" borderId="0" applyBorder="0">
      <alignment horizontal="left" wrapText="1"/>
    </xf>
    <xf numFmtId="0" fontId="15" fillId="0" borderId="0" applyBorder="0">
      <alignment horizontal="center" wrapText="1"/>
    </xf>
    <xf numFmtId="0" fontId="20" fillId="0" borderId="0" applyBorder="0">
      <alignment horizontal="left" wrapText="1"/>
    </xf>
    <xf numFmtId="0" fontId="21" fillId="0" borderId="0" applyBorder="0">
      <alignment horizontal="left" wrapText="1"/>
    </xf>
    <xf numFmtId="0" fontId="22" fillId="0" borderId="0" applyBorder="0">
      <alignment horizontal="left" wrapText="1"/>
    </xf>
    <xf numFmtId="0" fontId="23" fillId="0" borderId="0" applyBorder="0">
      <alignment horizontal="left" wrapText="1"/>
    </xf>
    <xf numFmtId="0" fontId="24" fillId="0" borderId="0" applyBorder="0">
      <alignment horizontal="left" wrapText="1"/>
    </xf>
    <xf numFmtId="0" fontId="25" fillId="0" borderId="0" applyBorder="0">
      <alignment horizontal="left" wrapText="1"/>
    </xf>
    <xf numFmtId="0" fontId="26" fillId="0" borderId="0" applyBorder="0">
      <alignment horizontal="left" wrapText="1"/>
    </xf>
    <xf numFmtId="0" fontId="13" fillId="0" borderId="0" applyBorder="0">
      <alignment horizontal="left" wrapText="1"/>
    </xf>
    <xf numFmtId="0" fontId="27" fillId="0" borderId="0" applyBorder="0">
      <alignment horizontal="left" wrapText="1"/>
    </xf>
    <xf numFmtId="0" fontId="28" fillId="0" borderId="0" applyBorder="0">
      <alignment horizontal="left" wrapText="1"/>
    </xf>
    <xf numFmtId="0" fontId="29" fillId="0" borderId="0" applyBorder="0">
      <alignment wrapText="1"/>
    </xf>
    <xf numFmtId="0" fontId="30" fillId="0" borderId="0" applyBorder="0">
      <alignment wrapText="1"/>
    </xf>
    <xf numFmtId="0" fontId="31" fillId="0" borderId="0" applyBorder="0">
      <alignment wrapText="1"/>
    </xf>
    <xf numFmtId="0" fontId="78" fillId="0" borderId="0" applyNumberFormat="0" applyFill="0" applyBorder="0" applyAlignment="0" applyProtection="0"/>
    <xf numFmtId="9" fontId="92" fillId="0" borderId="0" applyFont="0" applyFill="0" applyBorder="0" applyAlignment="0" applyProtection="0"/>
    <xf numFmtId="43" fontId="99" fillId="0" borderId="0" applyFont="0" applyFill="0" applyBorder="0" applyAlignment="0" applyProtection="0"/>
  </cellStyleXfs>
  <cellXfs count="790">
    <xf numFmtId="0" fontId="0" fillId="0" borderId="0" xfId="0"/>
    <xf numFmtId="0" fontId="1" fillId="0" borderId="0" xfId="1">
      <alignment horizontal="left" wrapText="1"/>
    </xf>
    <xf numFmtId="0" fontId="32" fillId="2" borderId="0" xfId="0" applyFont="1" applyFill="1" applyAlignment="1">
      <alignment horizontal="left" wrapText="1"/>
    </xf>
    <xf numFmtId="0" fontId="34" fillId="2" borderId="0" xfId="0" applyFont="1" applyFill="1" applyAlignment="1">
      <alignment horizontal="left" wrapText="1"/>
    </xf>
    <xf numFmtId="0" fontId="33" fillId="2" borderId="0" xfId="0" applyFont="1" applyFill="1" applyAlignment="1">
      <alignment horizontal="left" wrapText="1"/>
    </xf>
    <xf numFmtId="0" fontId="35" fillId="2" borderId="0" xfId="0" applyFont="1" applyFill="1" applyAlignment="1">
      <alignment horizontal="left" wrapText="1"/>
    </xf>
    <xf numFmtId="0" fontId="1" fillId="7" borderId="0" xfId="0" applyFont="1" applyFill="1" applyAlignment="1">
      <alignment horizontal="left" wrapText="1"/>
    </xf>
    <xf numFmtId="0" fontId="14" fillId="10" borderId="0" xfId="0" applyFont="1" applyFill="1" applyAlignment="1">
      <alignment vertical="center" wrapText="1"/>
    </xf>
    <xf numFmtId="0" fontId="33" fillId="0" borderId="2" xfId="0" applyFont="1" applyBorder="1" applyAlignment="1">
      <alignment horizontal="left" vertical="top" wrapText="1"/>
    </xf>
    <xf numFmtId="0" fontId="33" fillId="0" borderId="16" xfId="0" applyFont="1" applyBorder="1" applyAlignment="1">
      <alignment horizontal="left" vertical="top" wrapText="1"/>
    </xf>
    <xf numFmtId="0" fontId="33" fillId="2" borderId="17" xfId="0" applyFont="1" applyFill="1" applyBorder="1" applyAlignment="1">
      <alignment horizontal="left" vertical="top" wrapText="1"/>
    </xf>
    <xf numFmtId="0" fontId="33" fillId="2" borderId="18" xfId="0" applyFont="1" applyFill="1" applyBorder="1" applyAlignment="1">
      <alignment horizontal="left" vertical="top" wrapText="1"/>
    </xf>
    <xf numFmtId="0" fontId="33" fillId="0" borderId="17" xfId="0" applyFont="1" applyBorder="1" applyAlignment="1">
      <alignment horizontal="left" vertical="top" wrapText="1"/>
    </xf>
    <xf numFmtId="0" fontId="33" fillId="0" borderId="19" xfId="0" applyFont="1" applyBorder="1" applyAlignment="1">
      <alignment horizontal="left" wrapText="1"/>
    </xf>
    <xf numFmtId="0" fontId="33" fillId="0" borderId="18" xfId="0" applyFont="1" applyBorder="1" applyAlignment="1">
      <alignment horizontal="left" wrapText="1"/>
    </xf>
    <xf numFmtId="0" fontId="33" fillId="0" borderId="4" xfId="0" applyFont="1" applyBorder="1" applyAlignment="1">
      <alignment horizontal="left" wrapText="1"/>
    </xf>
    <xf numFmtId="0" fontId="14" fillId="10" borderId="20" xfId="0" applyFont="1" applyFill="1" applyBorder="1" applyAlignment="1">
      <alignment horizontal="left" vertical="center" wrapText="1"/>
    </xf>
    <xf numFmtId="0" fontId="36" fillId="10" borderId="0" xfId="0" applyFont="1" applyFill="1" applyAlignment="1">
      <alignment horizontal="right" vertical="center" wrapText="1"/>
    </xf>
    <xf numFmtId="0" fontId="36" fillId="10" borderId="0" xfId="0" applyFont="1" applyFill="1" applyAlignment="1">
      <alignment horizontal="center" vertical="center" wrapText="1"/>
    </xf>
    <xf numFmtId="0" fontId="33" fillId="0" borderId="21" xfId="0" applyFont="1" applyBorder="1" applyAlignment="1">
      <alignment horizontal="left" vertical="center" wrapText="1"/>
    </xf>
    <xf numFmtId="166" fontId="33" fillId="0" borderId="0" xfId="0" applyNumberFormat="1" applyFont="1" applyAlignment="1">
      <alignment horizontal="right" vertical="center" wrapText="1"/>
    </xf>
    <xf numFmtId="0" fontId="33" fillId="0" borderId="0" xfId="0" applyFont="1" applyAlignment="1">
      <alignment horizontal="left" vertical="center" wrapText="1"/>
    </xf>
    <xf numFmtId="166" fontId="33" fillId="2" borderId="0" xfId="0" applyNumberFormat="1" applyFont="1" applyFill="1" applyAlignment="1">
      <alignment horizontal="right" vertical="center" wrapText="1"/>
    </xf>
    <xf numFmtId="0" fontId="33" fillId="2" borderId="0" xfId="0" applyFont="1" applyFill="1" applyAlignment="1">
      <alignment horizontal="right" vertical="center" wrapText="1"/>
    </xf>
    <xf numFmtId="0" fontId="33" fillId="0" borderId="0" xfId="0" applyFont="1" applyAlignment="1">
      <alignment horizontal="right" vertical="center" wrapText="1"/>
    </xf>
    <xf numFmtId="0" fontId="33" fillId="0" borderId="22" xfId="0" applyFont="1" applyBorder="1" applyAlignment="1">
      <alignment horizontal="left" vertical="center" wrapText="1"/>
    </xf>
    <xf numFmtId="166" fontId="33" fillId="0" borderId="22" xfId="0" applyNumberFormat="1" applyFont="1" applyBorder="1" applyAlignment="1">
      <alignment horizontal="right" vertical="center" wrapText="1"/>
    </xf>
    <xf numFmtId="0" fontId="37" fillId="0" borderId="20" xfId="0" applyFont="1" applyBorder="1" applyAlignment="1">
      <alignment horizontal="left" vertical="center" wrapText="1"/>
    </xf>
    <xf numFmtId="0" fontId="38" fillId="0" borderId="20" xfId="0" applyFont="1" applyBorder="1" applyAlignment="1">
      <alignment horizontal="right" vertical="center" wrapText="1"/>
    </xf>
    <xf numFmtId="166" fontId="38" fillId="0" borderId="20" xfId="0" applyNumberFormat="1" applyFont="1" applyBorder="1" applyAlignment="1">
      <alignment horizontal="right" vertical="center" wrapText="1"/>
    </xf>
    <xf numFmtId="0" fontId="39" fillId="0" borderId="21" xfId="0" applyFont="1" applyBorder="1" applyAlignment="1">
      <alignment horizontal="left" vertical="center" wrapText="1"/>
    </xf>
    <xf numFmtId="0" fontId="39" fillId="2" borderId="0" xfId="0" applyFont="1" applyFill="1" applyAlignment="1">
      <alignment horizontal="left" vertical="center" wrapText="1"/>
    </xf>
    <xf numFmtId="0" fontId="36" fillId="10" borderId="0" xfId="0" applyFont="1" applyFill="1" applyAlignment="1">
      <alignment horizontal="left" vertical="center" wrapText="1"/>
    </xf>
    <xf numFmtId="164" fontId="36" fillId="10" borderId="0" xfId="0" applyNumberFormat="1" applyFont="1" applyFill="1" applyAlignment="1">
      <alignment horizontal="right" vertical="center" wrapText="1"/>
    </xf>
    <xf numFmtId="166" fontId="40" fillId="0" borderId="0" xfId="0" applyNumberFormat="1" applyFont="1" applyAlignment="1">
      <alignment horizontal="right" vertical="center" wrapText="1"/>
    </xf>
    <xf numFmtId="164" fontId="33" fillId="0" borderId="0" xfId="0" applyNumberFormat="1" applyFont="1" applyAlignment="1">
      <alignment horizontal="right" vertical="center" wrapText="1"/>
    </xf>
    <xf numFmtId="164" fontId="33" fillId="0" borderId="22" xfId="0" applyNumberFormat="1" applyFont="1" applyBorder="1" applyAlignment="1">
      <alignment horizontal="right" vertical="center" wrapText="1"/>
    </xf>
    <xf numFmtId="166" fontId="40" fillId="0" borderId="22" xfId="0" applyNumberFormat="1" applyFont="1" applyBorder="1" applyAlignment="1">
      <alignment horizontal="right" vertical="center" wrapText="1"/>
    </xf>
    <xf numFmtId="166" fontId="37" fillId="0" borderId="20" xfId="0" applyNumberFormat="1" applyFont="1" applyBorder="1" applyAlignment="1">
      <alignment horizontal="right" vertical="center" wrapText="1"/>
    </xf>
    <xf numFmtId="0" fontId="41" fillId="2" borderId="0" xfId="0" applyFont="1" applyFill="1" applyAlignment="1">
      <alignment horizontal="left" vertical="center" wrapText="1"/>
    </xf>
    <xf numFmtId="0" fontId="41" fillId="2" borderId="0" xfId="0" applyFont="1" applyFill="1" applyAlignment="1">
      <alignment horizontal="center" vertical="center" wrapText="1"/>
    </xf>
    <xf numFmtId="0" fontId="42" fillId="2" borderId="0" xfId="0" applyFont="1" applyFill="1" applyAlignment="1">
      <alignment horizontal="left" vertical="center" wrapText="1"/>
    </xf>
    <xf numFmtId="0" fontId="38" fillId="2" borderId="0" xfId="0" applyFont="1" applyFill="1" applyAlignment="1">
      <alignment horizontal="center" vertical="center" wrapText="1"/>
    </xf>
    <xf numFmtId="0" fontId="33" fillId="2" borderId="0" xfId="0" applyFont="1" applyFill="1" applyAlignment="1">
      <alignment horizontal="left" vertical="center" wrapText="1"/>
    </xf>
    <xf numFmtId="0" fontId="1" fillId="0" borderId="21" xfId="0" applyFont="1" applyBorder="1" applyAlignment="1">
      <alignment horizontal="left" wrapText="1"/>
    </xf>
    <xf numFmtId="0" fontId="38" fillId="0" borderId="20" xfId="0" applyFont="1" applyBorder="1" applyAlignment="1">
      <alignment horizontal="left" vertical="center" wrapText="1"/>
    </xf>
    <xf numFmtId="0" fontId="38" fillId="0" borderId="23" xfId="0" applyFont="1" applyBorder="1" applyAlignment="1">
      <alignment horizontal="left" vertical="center" wrapText="1"/>
    </xf>
    <xf numFmtId="164" fontId="38" fillId="0" borderId="23" xfId="0" applyNumberFormat="1" applyFont="1" applyBorder="1" applyAlignment="1">
      <alignment horizontal="right" vertical="center" wrapText="1"/>
    </xf>
    <xf numFmtId="0" fontId="39" fillId="0" borderId="21" xfId="0" applyFont="1" applyBorder="1" applyAlignment="1">
      <alignment horizontal="right" vertical="center" wrapText="1"/>
    </xf>
    <xf numFmtId="0" fontId="40" fillId="0" borderId="0" xfId="0" applyFont="1" applyAlignment="1">
      <alignment horizontal="right" vertical="center" wrapText="1"/>
    </xf>
    <xf numFmtId="166" fontId="40" fillId="0" borderId="20" xfId="0" applyNumberFormat="1" applyFont="1" applyBorder="1" applyAlignment="1">
      <alignment horizontal="right" vertical="center" wrapText="1"/>
    </xf>
    <xf numFmtId="0" fontId="39" fillId="0" borderId="0" xfId="0" applyFont="1" applyAlignment="1">
      <alignment horizontal="left" vertical="center" wrapText="1"/>
    </xf>
    <xf numFmtId="0" fontId="36" fillId="10" borderId="24" xfId="0" applyFont="1" applyFill="1" applyBorder="1" applyAlignment="1">
      <alignment horizontal="left" vertical="center" wrapText="1"/>
    </xf>
    <xf numFmtId="164" fontId="36" fillId="10" borderId="25" xfId="0" applyNumberFormat="1" applyFont="1" applyFill="1" applyBorder="1" applyAlignment="1">
      <alignment horizontal="right" vertical="center" wrapText="1"/>
    </xf>
    <xf numFmtId="0" fontId="36" fillId="10" borderId="25" xfId="0" applyFont="1" applyFill="1" applyBorder="1" applyAlignment="1">
      <alignment horizontal="right" vertical="center" wrapText="1"/>
    </xf>
    <xf numFmtId="0" fontId="33" fillId="0" borderId="26" xfId="0" applyFont="1" applyBorder="1" applyAlignment="1">
      <alignment horizontal="left" vertical="center" wrapText="1"/>
    </xf>
    <xf numFmtId="166" fontId="38" fillId="0" borderId="0" xfId="0" applyNumberFormat="1" applyFont="1" applyAlignment="1">
      <alignment horizontal="right" vertical="center" wrapText="1"/>
    </xf>
    <xf numFmtId="0" fontId="40" fillId="0" borderId="27" xfId="0" applyFont="1" applyBorder="1" applyAlignment="1">
      <alignment horizontal="left" vertical="center" wrapText="1"/>
    </xf>
    <xf numFmtId="169" fontId="33" fillId="0" borderId="0" xfId="0" applyNumberFormat="1" applyFont="1" applyAlignment="1">
      <alignment horizontal="right" vertical="center" wrapText="1"/>
    </xf>
    <xf numFmtId="0" fontId="33" fillId="0" borderId="29" xfId="0" applyFont="1" applyBorder="1" applyAlignment="1">
      <alignment horizontal="left" vertical="center" wrapText="1"/>
    </xf>
    <xf numFmtId="166" fontId="33" fillId="2" borderId="22" xfId="0" applyNumberFormat="1" applyFont="1" applyFill="1" applyBorder="1" applyAlignment="1">
      <alignment horizontal="right" vertical="center" wrapText="1"/>
    </xf>
    <xf numFmtId="169" fontId="33" fillId="0" borderId="22" xfId="0" applyNumberFormat="1" applyFont="1" applyBorder="1" applyAlignment="1">
      <alignment horizontal="right" vertical="center" wrapText="1"/>
    </xf>
    <xf numFmtId="0" fontId="37" fillId="0" borderId="30" xfId="0" applyFont="1" applyBorder="1" applyAlignment="1">
      <alignment horizontal="left" vertical="center" wrapText="1"/>
    </xf>
    <xf numFmtId="166" fontId="38" fillId="2" borderId="31" xfId="0" applyNumberFormat="1" applyFont="1" applyFill="1" applyBorder="1" applyAlignment="1">
      <alignment horizontal="right" vertical="center" wrapText="1"/>
    </xf>
    <xf numFmtId="166" fontId="38" fillId="0" borderId="31" xfId="0" applyNumberFormat="1" applyFont="1" applyBorder="1" applyAlignment="1">
      <alignment horizontal="right" vertical="center" wrapText="1"/>
    </xf>
    <xf numFmtId="169" fontId="38" fillId="0" borderId="31" xfId="0" applyNumberFormat="1" applyFont="1" applyBorder="1" applyAlignment="1">
      <alignment horizontal="right" vertical="center" wrapText="1"/>
    </xf>
    <xf numFmtId="0" fontId="36" fillId="10" borderId="22" xfId="0" applyFont="1" applyFill="1" applyBorder="1" applyAlignment="1">
      <alignment horizontal="left" vertical="center" wrapText="1"/>
    </xf>
    <xf numFmtId="164" fontId="14" fillId="10" borderId="22" xfId="0" applyNumberFormat="1" applyFont="1" applyFill="1" applyBorder="1" applyAlignment="1">
      <alignment horizontal="right" vertical="center" wrapText="1"/>
    </xf>
    <xf numFmtId="164" fontId="36" fillId="10" borderId="22" xfId="0" applyNumberFormat="1" applyFont="1" applyFill="1" applyBorder="1" applyAlignment="1">
      <alignment horizontal="right" vertical="center" wrapText="1"/>
    </xf>
    <xf numFmtId="164" fontId="33" fillId="0" borderId="21" xfId="0" applyNumberFormat="1" applyFont="1" applyBorder="1" applyAlignment="1">
      <alignment horizontal="right" vertical="center" wrapText="1"/>
    </xf>
    <xf numFmtId="166" fontId="33" fillId="0" borderId="21" xfId="0" applyNumberFormat="1" applyFont="1" applyBorder="1" applyAlignment="1">
      <alignment horizontal="right" vertical="center" wrapText="1"/>
    </xf>
    <xf numFmtId="170" fontId="33" fillId="0" borderId="22" xfId="0" applyNumberFormat="1" applyFont="1" applyBorder="1" applyAlignment="1">
      <alignment horizontal="right" vertical="center" wrapText="1"/>
    </xf>
    <xf numFmtId="170" fontId="33" fillId="0" borderId="21" xfId="0" applyNumberFormat="1" applyFont="1" applyBorder="1" applyAlignment="1">
      <alignment horizontal="right" vertical="center" wrapText="1"/>
    </xf>
    <xf numFmtId="0" fontId="33" fillId="0" borderId="9" xfId="0" applyFont="1" applyBorder="1" applyAlignment="1">
      <alignment horizontal="left" vertical="center" wrapText="1"/>
    </xf>
    <xf numFmtId="164" fontId="33" fillId="0" borderId="9" xfId="0" applyNumberFormat="1" applyFont="1" applyBorder="1" applyAlignment="1">
      <alignment horizontal="right" vertical="center" wrapText="1"/>
    </xf>
    <xf numFmtId="166" fontId="33" fillId="0" borderId="9" xfId="0" applyNumberFormat="1" applyFont="1" applyBorder="1" applyAlignment="1">
      <alignment horizontal="right" vertical="center" wrapText="1"/>
    </xf>
    <xf numFmtId="0" fontId="37" fillId="0" borderId="32" xfId="0" applyFont="1" applyBorder="1" applyAlignment="1">
      <alignment horizontal="left" vertical="center" wrapText="1"/>
    </xf>
    <xf numFmtId="164" fontId="33" fillId="2" borderId="21" xfId="0" applyNumberFormat="1" applyFont="1" applyFill="1" applyBorder="1" applyAlignment="1">
      <alignment horizontal="right" vertical="center" wrapText="1"/>
    </xf>
    <xf numFmtId="0" fontId="39" fillId="0" borderId="15" xfId="0" applyFont="1" applyBorder="1" applyAlignment="1">
      <alignment horizontal="left" vertical="center" wrapText="1"/>
    </xf>
    <xf numFmtId="0" fontId="36" fillId="10" borderId="22" xfId="0" applyFont="1" applyFill="1" applyBorder="1" applyAlignment="1">
      <alignment horizontal="right" vertical="center" wrapText="1"/>
    </xf>
    <xf numFmtId="171" fontId="33" fillId="0" borderId="21" xfId="0" applyNumberFormat="1" applyFont="1" applyBorder="1" applyAlignment="1">
      <alignment horizontal="right" vertical="center" wrapText="1"/>
    </xf>
    <xf numFmtId="172" fontId="33" fillId="0" borderId="21" xfId="0" applyNumberFormat="1" applyFont="1" applyBorder="1" applyAlignment="1">
      <alignment horizontal="right" vertical="center" wrapText="1"/>
    </xf>
    <xf numFmtId="173" fontId="33" fillId="0" borderId="21" xfId="0" applyNumberFormat="1" applyFont="1" applyBorder="1" applyAlignment="1">
      <alignment horizontal="right" vertical="center" wrapText="1"/>
    </xf>
    <xf numFmtId="174" fontId="33" fillId="0" borderId="21" xfId="0" applyNumberFormat="1" applyFont="1" applyBorder="1" applyAlignment="1">
      <alignment horizontal="right" vertical="center" wrapText="1"/>
    </xf>
    <xf numFmtId="172" fontId="33" fillId="0" borderId="9" xfId="0" applyNumberFormat="1" applyFont="1" applyBorder="1" applyAlignment="1">
      <alignment horizontal="right" vertical="center" wrapText="1"/>
    </xf>
    <xf numFmtId="173" fontId="33" fillId="0" borderId="9" xfId="0" applyNumberFormat="1" applyFont="1" applyBorder="1" applyAlignment="1">
      <alignment horizontal="right" vertical="center" wrapText="1"/>
    </xf>
    <xf numFmtId="0" fontId="33" fillId="0" borderId="9" xfId="0" applyFont="1" applyBorder="1" applyAlignment="1">
      <alignment horizontal="right" vertical="center" wrapText="1"/>
    </xf>
    <xf numFmtId="168" fontId="33" fillId="0" borderId="22" xfId="0" applyNumberFormat="1" applyFont="1" applyBorder="1" applyAlignment="1">
      <alignment horizontal="right" vertical="center" wrapText="1"/>
    </xf>
    <xf numFmtId="172" fontId="33" fillId="0" borderId="22" xfId="0" applyNumberFormat="1" applyFont="1" applyBorder="1" applyAlignment="1">
      <alignment horizontal="right" vertical="center" wrapText="1"/>
    </xf>
    <xf numFmtId="173" fontId="33" fillId="0" borderId="22" xfId="0" applyNumberFormat="1" applyFont="1" applyBorder="1" applyAlignment="1">
      <alignment horizontal="right" vertical="center" wrapText="1"/>
    </xf>
    <xf numFmtId="0" fontId="33" fillId="0" borderId="22" xfId="0" applyFont="1" applyBorder="1" applyAlignment="1">
      <alignment horizontal="right" vertical="center" wrapText="1"/>
    </xf>
    <xf numFmtId="171" fontId="33" fillId="0" borderId="9" xfId="0" applyNumberFormat="1" applyFont="1" applyBorder="1" applyAlignment="1">
      <alignment horizontal="right" vertical="center" wrapText="1"/>
    </xf>
    <xf numFmtId="0" fontId="33" fillId="0" borderId="33" xfId="0" applyFont="1" applyBorder="1" applyAlignment="1">
      <alignment horizontal="left" vertical="center" wrapText="1"/>
    </xf>
    <xf numFmtId="0" fontId="38" fillId="0" borderId="33" xfId="0" applyFont="1" applyBorder="1" applyAlignment="1">
      <alignment horizontal="left" vertical="center" wrapText="1"/>
    </xf>
    <xf numFmtId="0" fontId="33" fillId="0" borderId="33" xfId="0" applyFont="1" applyBorder="1" applyAlignment="1">
      <alignment horizontal="right" vertical="center" wrapText="1"/>
    </xf>
    <xf numFmtId="0" fontId="33" fillId="0" borderId="25" xfId="0" applyFont="1" applyBorder="1" applyAlignment="1">
      <alignment horizontal="right" vertical="center" wrapText="1"/>
    </xf>
    <xf numFmtId="0" fontId="33" fillId="0" borderId="25" xfId="0" applyFont="1" applyBorder="1" applyAlignment="1">
      <alignment horizontal="left" vertical="center" wrapText="1"/>
    </xf>
    <xf numFmtId="0" fontId="36" fillId="10" borderId="25" xfId="0" applyFont="1" applyFill="1" applyBorder="1" applyAlignment="1">
      <alignment horizontal="left" vertical="center" wrapText="1"/>
    </xf>
    <xf numFmtId="0" fontId="37" fillId="0" borderId="31" xfId="0" applyFont="1" applyBorder="1" applyAlignment="1">
      <alignment horizontal="left" vertical="center" wrapText="1"/>
    </xf>
    <xf numFmtId="0" fontId="43" fillId="0" borderId="20" xfId="0" applyFont="1" applyBorder="1" applyAlignment="1">
      <alignment horizontal="right" vertical="center" wrapText="1"/>
    </xf>
    <xf numFmtId="0" fontId="37" fillId="0" borderId="20" xfId="0" applyFont="1" applyBorder="1" applyAlignment="1">
      <alignment horizontal="right" vertical="center" wrapText="1"/>
    </xf>
    <xf numFmtId="0" fontId="38" fillId="0" borderId="32" xfId="0" applyFont="1" applyBorder="1" applyAlignment="1">
      <alignment horizontal="right" vertical="center" wrapText="1"/>
    </xf>
    <xf numFmtId="0" fontId="37" fillId="0" borderId="32" xfId="0" applyFont="1" applyBorder="1" applyAlignment="1">
      <alignment horizontal="right" vertical="center" wrapText="1"/>
    </xf>
    <xf numFmtId="0" fontId="33" fillId="0" borderId="15" xfId="0" applyFont="1" applyBorder="1" applyAlignment="1">
      <alignment horizontal="left" vertical="center" wrapText="1"/>
    </xf>
    <xf numFmtId="0" fontId="43" fillId="0" borderId="32" xfId="0" applyFont="1" applyBorder="1" applyAlignment="1">
      <alignment horizontal="right" vertical="center" wrapText="1"/>
    </xf>
    <xf numFmtId="0" fontId="33" fillId="0" borderId="15" xfId="0" applyFont="1" applyBorder="1" applyAlignment="1">
      <alignment horizontal="right" vertical="center" wrapText="1"/>
    </xf>
    <xf numFmtId="0" fontId="38" fillId="2" borderId="0" xfId="0" applyFont="1" applyFill="1" applyAlignment="1">
      <alignment horizontal="left" vertical="center" wrapText="1"/>
    </xf>
    <xf numFmtId="164" fontId="44" fillId="11" borderId="0" xfId="0" applyNumberFormat="1" applyFont="1" applyFill="1" applyAlignment="1">
      <alignment horizontal="right" vertical="center" wrapText="1"/>
    </xf>
    <xf numFmtId="164" fontId="33" fillId="2" borderId="0" xfId="0" applyNumberFormat="1" applyFont="1" applyFill="1" applyAlignment="1">
      <alignment horizontal="right" vertical="center" wrapText="1"/>
    </xf>
    <xf numFmtId="166" fontId="40" fillId="2" borderId="0" xfId="0" applyNumberFormat="1" applyFont="1" applyFill="1" applyAlignment="1">
      <alignment horizontal="right" vertical="center" wrapText="1"/>
    </xf>
    <xf numFmtId="0" fontId="40" fillId="0" borderId="34" xfId="0" applyFont="1" applyBorder="1" applyAlignment="1">
      <alignment horizontal="left" vertical="center" wrapText="1"/>
    </xf>
    <xf numFmtId="164" fontId="44" fillId="11" borderId="34" xfId="0" applyNumberFormat="1" applyFont="1" applyFill="1" applyBorder="1" applyAlignment="1">
      <alignment horizontal="right" vertical="center" wrapText="1"/>
    </xf>
    <xf numFmtId="164" fontId="40" fillId="2" borderId="34" xfId="0" applyNumberFormat="1" applyFont="1" applyFill="1" applyBorder="1" applyAlignment="1">
      <alignment horizontal="right" vertical="center" wrapText="1"/>
    </xf>
    <xf numFmtId="166" fontId="40" fillId="0" borderId="34" xfId="0" applyNumberFormat="1" applyFont="1" applyBorder="1" applyAlignment="1">
      <alignment horizontal="right" vertical="center" wrapText="1"/>
    </xf>
    <xf numFmtId="166" fontId="40" fillId="2" borderId="34" xfId="0" applyNumberFormat="1" applyFont="1" applyFill="1" applyBorder="1" applyAlignment="1">
      <alignment horizontal="right" vertical="center" wrapText="1"/>
    </xf>
    <xf numFmtId="0" fontId="38" fillId="0" borderId="21" xfId="0" applyFont="1" applyBorder="1" applyAlignment="1">
      <alignment horizontal="left" vertical="center" wrapText="1"/>
    </xf>
    <xf numFmtId="170" fontId="33" fillId="0" borderId="0" xfId="0" applyNumberFormat="1" applyFont="1" applyAlignment="1">
      <alignment horizontal="right" vertical="center" wrapText="1"/>
    </xf>
    <xf numFmtId="174" fontId="33" fillId="0" borderId="0" xfId="0" applyNumberFormat="1" applyFont="1" applyAlignment="1">
      <alignment horizontal="right" vertical="center" wrapText="1"/>
    </xf>
    <xf numFmtId="174" fontId="37" fillId="0" borderId="34" xfId="0" applyNumberFormat="1" applyFont="1" applyBorder="1" applyAlignment="1">
      <alignment horizontal="right" vertical="center" wrapText="1"/>
    </xf>
    <xf numFmtId="174" fontId="40" fillId="0" borderId="34" xfId="0" applyNumberFormat="1" applyFont="1" applyBorder="1" applyAlignment="1">
      <alignment horizontal="right" vertical="center" wrapText="1"/>
    </xf>
    <xf numFmtId="0" fontId="37" fillId="0" borderId="23" xfId="0" applyFont="1" applyBorder="1" applyAlignment="1">
      <alignment horizontal="left" vertical="center" wrapText="1"/>
    </xf>
    <xf numFmtId="164" fontId="37" fillId="0" borderId="23" xfId="0" applyNumberFormat="1" applyFont="1" applyBorder="1" applyAlignment="1">
      <alignment horizontal="right" vertical="center" wrapText="1"/>
    </xf>
    <xf numFmtId="164" fontId="40" fillId="0" borderId="23" xfId="0" applyNumberFormat="1" applyFont="1" applyBorder="1" applyAlignment="1">
      <alignment horizontal="right" vertical="center" wrapText="1"/>
    </xf>
    <xf numFmtId="166" fontId="40" fillId="0" borderId="23" xfId="0" applyNumberFormat="1" applyFont="1" applyBorder="1" applyAlignment="1">
      <alignment horizontal="right" vertical="center" wrapText="1"/>
    </xf>
    <xf numFmtId="166" fontId="40" fillId="0" borderId="21" xfId="0" applyNumberFormat="1" applyFont="1" applyBorder="1" applyAlignment="1">
      <alignment horizontal="right" vertical="center" wrapText="1"/>
    </xf>
    <xf numFmtId="166" fontId="33" fillId="0" borderId="21" xfId="0" applyNumberFormat="1" applyFont="1" applyBorder="1" applyAlignment="1">
      <alignment horizontal="left" vertical="center" wrapText="1"/>
    </xf>
    <xf numFmtId="166" fontId="33" fillId="0" borderId="22" xfId="0" applyNumberFormat="1" applyFont="1" applyBorder="1" applyAlignment="1">
      <alignment horizontal="left" vertical="center" wrapText="1"/>
    </xf>
    <xf numFmtId="164" fontId="37" fillId="0" borderId="20" xfId="0" applyNumberFormat="1" applyFont="1" applyBorder="1" applyAlignment="1">
      <alignment horizontal="right" vertical="center" wrapText="1"/>
    </xf>
    <xf numFmtId="164" fontId="40" fillId="0" borderId="20" xfId="0" applyNumberFormat="1" applyFont="1" applyBorder="1" applyAlignment="1">
      <alignment horizontal="right" vertical="center" wrapText="1"/>
    </xf>
    <xf numFmtId="166" fontId="37" fillId="0" borderId="23" xfId="0" applyNumberFormat="1" applyFont="1" applyBorder="1" applyAlignment="1">
      <alignment horizontal="right" vertical="center" wrapText="1"/>
    </xf>
    <xf numFmtId="0" fontId="38" fillId="10" borderId="0" xfId="0" applyFont="1" applyFill="1" applyAlignment="1">
      <alignment horizontal="left" vertical="center" wrapText="1"/>
    </xf>
    <xf numFmtId="0" fontId="33" fillId="0" borderId="21" xfId="0" applyFont="1" applyBorder="1" applyAlignment="1">
      <alignment horizontal="right" vertical="center" wrapText="1"/>
    </xf>
    <xf numFmtId="0" fontId="33" fillId="2" borderId="21" xfId="0" applyFont="1" applyFill="1" applyBorder="1" applyAlignment="1">
      <alignment horizontal="right" vertical="center" wrapText="1"/>
    </xf>
    <xf numFmtId="0" fontId="37" fillId="0" borderId="23" xfId="0" applyFont="1" applyBorder="1" applyAlignment="1">
      <alignment horizontal="right" vertical="center" wrapText="1"/>
    </xf>
    <xf numFmtId="0" fontId="14" fillId="10" borderId="0" xfId="0" applyFont="1" applyFill="1" applyAlignment="1">
      <alignment horizontal="left" vertical="center" wrapText="1"/>
    </xf>
    <xf numFmtId="164" fontId="14" fillId="10" borderId="0" xfId="0" applyNumberFormat="1" applyFont="1" applyFill="1" applyAlignment="1">
      <alignment horizontal="right" vertical="center" wrapText="1"/>
    </xf>
    <xf numFmtId="167" fontId="33" fillId="0" borderId="0" xfId="0" applyNumberFormat="1" applyFont="1" applyAlignment="1">
      <alignment vertical="center" wrapText="1"/>
    </xf>
    <xf numFmtId="175" fontId="33" fillId="0" borderId="0" xfId="0" applyNumberFormat="1" applyFont="1" applyAlignment="1">
      <alignment horizontal="left" vertical="center" wrapText="1"/>
    </xf>
    <xf numFmtId="175" fontId="33" fillId="2" borderId="0" xfId="0" applyNumberFormat="1" applyFont="1" applyFill="1" applyAlignment="1">
      <alignment horizontal="left" vertical="center" wrapText="1"/>
    </xf>
    <xf numFmtId="0" fontId="38" fillId="0" borderId="9" xfId="0" applyFont="1" applyBorder="1" applyAlignment="1">
      <alignment horizontal="left" vertical="center" wrapText="1"/>
    </xf>
    <xf numFmtId="166" fontId="38" fillId="0" borderId="9" xfId="0" applyNumberFormat="1" applyFont="1" applyBorder="1" applyAlignment="1">
      <alignment horizontal="right" vertical="center" wrapText="1"/>
    </xf>
    <xf numFmtId="167" fontId="33" fillId="0" borderId="9" xfId="0" applyNumberFormat="1" applyFont="1" applyBorder="1" applyAlignment="1">
      <alignment vertical="center" wrapText="1"/>
    </xf>
    <xf numFmtId="175" fontId="33" fillId="0" borderId="34" xfId="0" applyNumberFormat="1" applyFont="1" applyBorder="1" applyAlignment="1">
      <alignment horizontal="left" vertical="center" wrapText="1"/>
    </xf>
    <xf numFmtId="176" fontId="33" fillId="12" borderId="0" xfId="0" applyNumberFormat="1" applyFont="1" applyFill="1" applyAlignment="1">
      <alignment horizontal="left" vertical="center" wrapText="1"/>
    </xf>
    <xf numFmtId="0" fontId="38" fillId="0" borderId="0" xfId="0" applyFont="1" applyAlignment="1">
      <alignment horizontal="left" vertical="center" wrapText="1"/>
    </xf>
    <xf numFmtId="164" fontId="38" fillId="0" borderId="0" xfId="0" applyNumberFormat="1" applyFont="1" applyAlignment="1">
      <alignment horizontal="right" vertical="center" wrapText="1"/>
    </xf>
    <xf numFmtId="175" fontId="33" fillId="12" borderId="0" xfId="0" applyNumberFormat="1" applyFont="1" applyFill="1" applyAlignment="1">
      <alignment horizontal="left" vertical="center" wrapText="1"/>
    </xf>
    <xf numFmtId="167" fontId="38" fillId="0" borderId="0" xfId="0" applyNumberFormat="1" applyFont="1" applyAlignment="1">
      <alignment vertical="center" wrapText="1"/>
    </xf>
    <xf numFmtId="164" fontId="38" fillId="0" borderId="9" xfId="0" applyNumberFormat="1" applyFont="1" applyBorder="1" applyAlignment="1">
      <alignment horizontal="right" vertical="center" wrapText="1"/>
    </xf>
    <xf numFmtId="167" fontId="33" fillId="2" borderId="9" xfId="0" applyNumberFormat="1" applyFont="1" applyFill="1" applyBorder="1" applyAlignment="1">
      <alignment vertical="center" wrapText="1"/>
    </xf>
    <xf numFmtId="175" fontId="33" fillId="2" borderId="34" xfId="0" applyNumberFormat="1" applyFont="1" applyFill="1" applyBorder="1" applyAlignment="1">
      <alignment horizontal="left" vertical="center" wrapText="1"/>
    </xf>
    <xf numFmtId="175" fontId="38" fillId="12" borderId="34" xfId="0" applyNumberFormat="1" applyFont="1" applyFill="1" applyBorder="1" applyAlignment="1">
      <alignment horizontal="left" vertical="center" wrapText="1"/>
    </xf>
    <xf numFmtId="0" fontId="39" fillId="0" borderId="9" xfId="0" applyFont="1" applyBorder="1" applyAlignment="1">
      <alignment horizontal="left" vertical="center" wrapText="1"/>
    </xf>
    <xf numFmtId="168" fontId="33" fillId="0" borderId="34" xfId="0" applyNumberFormat="1" applyFont="1" applyBorder="1" applyAlignment="1">
      <alignment horizontal="left" vertical="center" wrapText="1"/>
    </xf>
    <xf numFmtId="175" fontId="33" fillId="13" borderId="0" xfId="0" applyNumberFormat="1" applyFont="1" applyFill="1" applyAlignment="1">
      <alignment horizontal="left" vertical="center" wrapText="1"/>
    </xf>
    <xf numFmtId="0" fontId="33" fillId="0" borderId="34" xfId="0" applyFont="1" applyBorder="1" applyAlignment="1">
      <alignment horizontal="left" vertical="center" wrapText="1"/>
    </xf>
    <xf numFmtId="175" fontId="38" fillId="0" borderId="34" xfId="0" applyNumberFormat="1" applyFont="1" applyBorder="1" applyAlignment="1">
      <alignment horizontal="left" vertical="center" wrapText="1"/>
    </xf>
    <xf numFmtId="175" fontId="33" fillId="13" borderId="34" xfId="0" applyNumberFormat="1" applyFont="1" applyFill="1" applyBorder="1" applyAlignment="1">
      <alignment horizontal="left" vertical="center" wrapText="1"/>
    </xf>
    <xf numFmtId="165" fontId="33" fillId="0" borderId="21" xfId="0" applyNumberFormat="1" applyFont="1" applyBorder="1" applyAlignment="1">
      <alignment horizontal="left" vertical="center" wrapText="1"/>
    </xf>
    <xf numFmtId="167" fontId="33" fillId="2" borderId="0" xfId="0" applyNumberFormat="1" applyFont="1" applyFill="1" applyAlignment="1">
      <alignment vertical="center" wrapText="1"/>
    </xf>
    <xf numFmtId="166" fontId="38" fillId="2" borderId="9" xfId="0" applyNumberFormat="1" applyFont="1" applyFill="1" applyBorder="1" applyAlignment="1">
      <alignment horizontal="right" vertical="center" wrapText="1"/>
    </xf>
    <xf numFmtId="166" fontId="33" fillId="2" borderId="9" xfId="0" applyNumberFormat="1" applyFont="1" applyFill="1" applyBorder="1" applyAlignment="1">
      <alignment horizontal="right" vertical="center" wrapText="1"/>
    </xf>
    <xf numFmtId="175" fontId="38" fillId="2" borderId="34" xfId="0" applyNumberFormat="1" applyFont="1" applyFill="1" applyBorder="1" applyAlignment="1">
      <alignment horizontal="left" vertical="center" wrapText="1"/>
    </xf>
    <xf numFmtId="164" fontId="33" fillId="0" borderId="21" xfId="0" applyNumberFormat="1" applyFont="1" applyBorder="1" applyAlignment="1">
      <alignment horizontal="left" vertical="center" wrapText="1"/>
    </xf>
    <xf numFmtId="176" fontId="33" fillId="0" borderId="21" xfId="0" applyNumberFormat="1" applyFont="1" applyBorder="1" applyAlignment="1">
      <alignment horizontal="left" vertical="center" wrapText="1"/>
    </xf>
    <xf numFmtId="177" fontId="33" fillId="0" borderId="0" xfId="0" applyNumberFormat="1" applyFont="1" applyAlignment="1">
      <alignment horizontal="right" vertical="center" wrapText="1"/>
    </xf>
    <xf numFmtId="165" fontId="35" fillId="0" borderId="0" xfId="0" applyNumberFormat="1" applyFont="1" applyAlignment="1">
      <alignment horizontal="right" wrapText="1"/>
    </xf>
    <xf numFmtId="165" fontId="34" fillId="0" borderId="0" xfId="0" applyNumberFormat="1" applyFont="1" applyAlignment="1">
      <alignment horizontal="left" wrapText="1"/>
    </xf>
    <xf numFmtId="177" fontId="38" fillId="0" borderId="9" xfId="0" applyNumberFormat="1" applyFont="1" applyBorder="1" applyAlignment="1">
      <alignment horizontal="right" vertical="center" wrapText="1"/>
    </xf>
    <xf numFmtId="177" fontId="33" fillId="0" borderId="9" xfId="0" applyNumberFormat="1" applyFont="1" applyBorder="1" applyAlignment="1">
      <alignment horizontal="right" vertical="center" wrapText="1"/>
    </xf>
    <xf numFmtId="177" fontId="33" fillId="0" borderId="34" xfId="0" applyNumberFormat="1" applyFont="1" applyBorder="1" applyAlignment="1">
      <alignment horizontal="right" vertical="center" wrapText="1"/>
    </xf>
    <xf numFmtId="164" fontId="38" fillId="14" borderId="0" xfId="0" applyNumberFormat="1" applyFont="1" applyFill="1" applyAlignment="1">
      <alignment horizontal="right" vertical="center" wrapText="1"/>
    </xf>
    <xf numFmtId="177" fontId="38" fillId="0" borderId="0" xfId="0" applyNumberFormat="1" applyFont="1" applyAlignment="1">
      <alignment horizontal="right" vertical="center" wrapText="1"/>
    </xf>
    <xf numFmtId="164" fontId="39" fillId="0" borderId="0" xfId="0" applyNumberFormat="1" applyFont="1" applyAlignment="1">
      <alignment horizontal="right" vertical="center" wrapText="1"/>
    </xf>
    <xf numFmtId="164" fontId="39" fillId="0" borderId="0" xfId="0" applyNumberFormat="1" applyFont="1" applyAlignment="1">
      <alignment horizontal="left" vertical="center" wrapText="1"/>
    </xf>
    <xf numFmtId="166" fontId="33" fillId="0" borderId="0" xfId="0" applyNumberFormat="1" applyFont="1" applyAlignment="1">
      <alignment horizontal="left" vertical="center" wrapText="1"/>
    </xf>
    <xf numFmtId="0" fontId="33" fillId="12" borderId="0" xfId="0" applyFont="1" applyFill="1" applyAlignment="1">
      <alignment horizontal="left" vertical="center" wrapText="1"/>
    </xf>
    <xf numFmtId="0" fontId="14" fillId="10" borderId="0" xfId="0" applyFont="1" applyFill="1" applyAlignment="1">
      <alignment horizontal="right" vertical="center" wrapText="1"/>
    </xf>
    <xf numFmtId="0" fontId="33" fillId="15" borderId="0" xfId="0" applyFont="1" applyFill="1" applyAlignment="1">
      <alignment horizontal="left" vertical="center" wrapText="1"/>
    </xf>
    <xf numFmtId="0" fontId="38" fillId="0" borderId="15" xfId="0" applyFont="1" applyBorder="1" applyAlignment="1">
      <alignment horizontal="right" vertical="center" wrapText="1"/>
    </xf>
    <xf numFmtId="0" fontId="38" fillId="14" borderId="0" xfId="0" applyFont="1" applyFill="1" applyAlignment="1">
      <alignment horizontal="right" vertical="center" wrapText="1"/>
    </xf>
    <xf numFmtId="0" fontId="41" fillId="0" borderId="21" xfId="0" applyFont="1" applyBorder="1" applyAlignment="1">
      <alignment horizontal="right" vertical="center" wrapText="1"/>
    </xf>
    <xf numFmtId="164" fontId="14" fillId="16" borderId="0" xfId="0" applyNumberFormat="1" applyFont="1" applyFill="1" applyAlignment="1">
      <alignment horizontal="right" vertical="center" wrapText="1"/>
    </xf>
    <xf numFmtId="166" fontId="38" fillId="2" borderId="20" xfId="0" applyNumberFormat="1" applyFont="1" applyFill="1" applyBorder="1" applyAlignment="1">
      <alignment horizontal="left" vertical="center" wrapText="1"/>
    </xf>
    <xf numFmtId="166" fontId="38" fillId="2" borderId="23" xfId="0" applyNumberFormat="1" applyFont="1" applyFill="1" applyBorder="1" applyAlignment="1">
      <alignment horizontal="right" vertical="center" wrapText="1"/>
    </xf>
    <xf numFmtId="0" fontId="39" fillId="2" borderId="21" xfId="0" applyFont="1" applyFill="1" applyBorder="1" applyAlignment="1">
      <alignment horizontal="left" vertical="center" wrapText="1"/>
    </xf>
    <xf numFmtId="0" fontId="14" fillId="16" borderId="0" xfId="0" applyFont="1" applyFill="1" applyAlignment="1">
      <alignment horizontal="left" vertical="center" wrapText="1"/>
    </xf>
    <xf numFmtId="0" fontId="33" fillId="2" borderId="22" xfId="0" applyFont="1" applyFill="1" applyBorder="1" applyAlignment="1">
      <alignment horizontal="left" vertical="center" wrapText="1"/>
    </xf>
    <xf numFmtId="0" fontId="38" fillId="2" borderId="35" xfId="0" applyFont="1" applyFill="1" applyBorder="1" applyAlignment="1">
      <alignment horizontal="left" vertical="center" wrapText="1"/>
    </xf>
    <xf numFmtId="166" fontId="38" fillId="2" borderId="35" xfId="0" applyNumberFormat="1" applyFont="1" applyFill="1" applyBorder="1" applyAlignment="1">
      <alignment horizontal="right" vertical="center" wrapText="1"/>
    </xf>
    <xf numFmtId="166" fontId="33" fillId="2" borderId="13" xfId="0" applyNumberFormat="1" applyFont="1" applyFill="1" applyBorder="1" applyAlignment="1">
      <alignment horizontal="right" vertical="center" wrapText="1"/>
    </xf>
    <xf numFmtId="0" fontId="33" fillId="2" borderId="9" xfId="0" applyFont="1" applyFill="1" applyBorder="1" applyAlignment="1">
      <alignment horizontal="left" vertical="center" wrapText="1"/>
    </xf>
    <xf numFmtId="0" fontId="33" fillId="2" borderId="13" xfId="0" applyFont="1" applyFill="1" applyBorder="1" applyAlignment="1">
      <alignment horizontal="left" vertical="center" wrapText="1"/>
    </xf>
    <xf numFmtId="166" fontId="40" fillId="2" borderId="9" xfId="0" applyNumberFormat="1" applyFont="1" applyFill="1" applyBorder="1" applyAlignment="1">
      <alignment horizontal="right" vertical="center" wrapText="1"/>
    </xf>
    <xf numFmtId="164" fontId="38" fillId="0" borderId="34" xfId="0" applyNumberFormat="1" applyFont="1" applyBorder="1" applyAlignment="1">
      <alignment horizontal="right" vertical="center" wrapText="1"/>
    </xf>
    <xf numFmtId="164" fontId="33" fillId="0" borderId="34" xfId="0" applyNumberFormat="1" applyFont="1" applyBorder="1" applyAlignment="1">
      <alignment horizontal="right" vertical="center" wrapText="1"/>
    </xf>
    <xf numFmtId="0" fontId="44" fillId="2" borderId="0" xfId="0" applyFont="1" applyFill="1" applyAlignment="1">
      <alignment horizontal="right" vertical="center" wrapText="1"/>
    </xf>
    <xf numFmtId="177" fontId="40" fillId="0" borderId="0" xfId="0" applyNumberFormat="1" applyFont="1" applyAlignment="1">
      <alignment horizontal="right" vertical="center" wrapText="1"/>
    </xf>
    <xf numFmtId="170" fontId="38" fillId="0" borderId="9" xfId="0" applyNumberFormat="1" applyFont="1" applyBorder="1" applyAlignment="1">
      <alignment horizontal="right" vertical="center" wrapText="1"/>
    </xf>
    <xf numFmtId="170" fontId="33" fillId="0" borderId="9" xfId="0" applyNumberFormat="1" applyFont="1" applyBorder="1" applyAlignment="1">
      <alignment horizontal="right" vertical="center" wrapText="1"/>
    </xf>
    <xf numFmtId="177" fontId="40" fillId="0" borderId="9" xfId="0" applyNumberFormat="1" applyFont="1" applyBorder="1" applyAlignment="1">
      <alignment horizontal="right" vertical="center" wrapText="1"/>
    </xf>
    <xf numFmtId="177" fontId="40" fillId="0" borderId="34" xfId="0" applyNumberFormat="1" applyFont="1" applyBorder="1" applyAlignment="1">
      <alignment horizontal="right" vertical="center" wrapText="1"/>
    </xf>
    <xf numFmtId="177" fontId="40" fillId="2" borderId="0" xfId="0" applyNumberFormat="1" applyFont="1" applyFill="1" applyAlignment="1">
      <alignment horizontal="right" vertical="center" wrapText="1"/>
    </xf>
    <xf numFmtId="0" fontId="45" fillId="10" borderId="0" xfId="0" applyFont="1" applyFill="1" applyAlignment="1">
      <alignment horizontal="left" vertical="center" wrapText="1"/>
    </xf>
    <xf numFmtId="164" fontId="45" fillId="10" borderId="0" xfId="0" applyNumberFormat="1" applyFont="1" applyFill="1" applyAlignment="1">
      <alignment horizontal="right" vertical="center" wrapText="1"/>
    </xf>
    <xf numFmtId="166" fontId="33" fillId="0" borderId="28" xfId="0" applyNumberFormat="1" applyFont="1" applyBorder="1" applyAlignment="1">
      <alignment horizontal="right" vertical="center" wrapText="1"/>
    </xf>
    <xf numFmtId="165" fontId="33" fillId="0" borderId="0" xfId="0" applyNumberFormat="1" applyFont="1" applyAlignment="1">
      <alignment horizontal="right" vertical="center" wrapText="1"/>
    </xf>
    <xf numFmtId="165" fontId="33" fillId="0" borderId="34" xfId="0" applyNumberFormat="1" applyFont="1" applyBorder="1" applyAlignment="1">
      <alignment horizontal="right" vertical="center" wrapText="1"/>
    </xf>
    <xf numFmtId="177" fontId="33" fillId="0" borderId="28" xfId="0" applyNumberFormat="1" applyFont="1" applyBorder="1" applyAlignment="1">
      <alignment horizontal="right" vertical="center" wrapText="1"/>
    </xf>
    <xf numFmtId="0" fontId="33" fillId="0" borderId="34" xfId="0" applyFont="1" applyBorder="1" applyAlignment="1">
      <alignment horizontal="right" vertical="center" wrapText="1"/>
    </xf>
    <xf numFmtId="166" fontId="33" fillId="0" borderId="34" xfId="0" applyNumberFormat="1" applyFont="1" applyBorder="1" applyAlignment="1">
      <alignment horizontal="right" vertical="center" wrapText="1"/>
    </xf>
    <xf numFmtId="0" fontId="38" fillId="2" borderId="15" xfId="0" applyFont="1" applyFill="1" applyBorder="1" applyAlignment="1">
      <alignment horizontal="left" vertical="center" wrapText="1"/>
    </xf>
    <xf numFmtId="0" fontId="38" fillId="2" borderId="15" xfId="0" applyFont="1" applyFill="1" applyBorder="1" applyAlignment="1">
      <alignment horizontal="right" vertical="center" wrapText="1"/>
    </xf>
    <xf numFmtId="0" fontId="33" fillId="2" borderId="15" xfId="0" applyFont="1" applyFill="1" applyBorder="1" applyAlignment="1">
      <alignment horizontal="right" vertical="center" wrapText="1"/>
    </xf>
    <xf numFmtId="0" fontId="38" fillId="2" borderId="0" xfId="0" applyFont="1" applyFill="1" applyAlignment="1">
      <alignment horizontal="right" vertical="center" wrapText="1"/>
    </xf>
    <xf numFmtId="0" fontId="40" fillId="2" borderId="15" xfId="0" applyFont="1" applyFill="1" applyBorder="1" applyAlignment="1">
      <alignment horizontal="right" vertical="center" wrapText="1"/>
    </xf>
    <xf numFmtId="0" fontId="37" fillId="2" borderId="0" xfId="0" applyFont="1" applyFill="1" applyAlignment="1">
      <alignment horizontal="right" vertical="center" wrapText="1"/>
    </xf>
    <xf numFmtId="0" fontId="40" fillId="2" borderId="0" xfId="0" applyFont="1" applyFill="1" applyAlignment="1">
      <alignment horizontal="right" vertical="center" wrapText="1"/>
    </xf>
    <xf numFmtId="0" fontId="46" fillId="2" borderId="0" xfId="0" applyFont="1" applyFill="1" applyAlignment="1">
      <alignment horizontal="left" wrapText="1"/>
    </xf>
    <xf numFmtId="0" fontId="38" fillId="0" borderId="15" xfId="0" applyFont="1" applyBorder="1" applyAlignment="1">
      <alignment horizontal="left" vertical="center" wrapText="1"/>
    </xf>
    <xf numFmtId="0" fontId="38" fillId="0" borderId="25" xfId="0" applyFont="1" applyBorder="1" applyAlignment="1">
      <alignment horizontal="left" vertical="center" wrapText="1"/>
    </xf>
    <xf numFmtId="174" fontId="33" fillId="2" borderId="0" xfId="0" applyNumberFormat="1" applyFont="1" applyFill="1" applyAlignment="1">
      <alignment horizontal="right" vertical="center" wrapText="1"/>
    </xf>
    <xf numFmtId="170" fontId="33" fillId="2" borderId="0" xfId="0" applyNumberFormat="1" applyFont="1" applyFill="1" applyAlignment="1">
      <alignment horizontal="right" vertical="center" wrapText="1"/>
    </xf>
    <xf numFmtId="179" fontId="33" fillId="0" borderId="0" xfId="0" applyNumberFormat="1" applyFont="1" applyAlignment="1">
      <alignment horizontal="right" vertical="center" wrapText="1"/>
    </xf>
    <xf numFmtId="179" fontId="33" fillId="2" borderId="0" xfId="0" applyNumberFormat="1" applyFont="1" applyFill="1" applyAlignment="1">
      <alignment horizontal="right" vertical="center" wrapText="1"/>
    </xf>
    <xf numFmtId="168" fontId="33" fillId="0" borderId="34" xfId="0" applyNumberFormat="1" applyFont="1" applyBorder="1" applyAlignment="1">
      <alignment horizontal="right" vertical="center" wrapText="1"/>
    </xf>
    <xf numFmtId="180" fontId="33" fillId="0" borderId="34" xfId="0" applyNumberFormat="1" applyFont="1" applyBorder="1" applyAlignment="1">
      <alignment horizontal="right" vertical="center" wrapText="1"/>
    </xf>
    <xf numFmtId="180" fontId="33" fillId="2" borderId="34" xfId="0" applyNumberFormat="1" applyFont="1" applyFill="1" applyBorder="1" applyAlignment="1">
      <alignment horizontal="right" vertical="center" wrapText="1"/>
    </xf>
    <xf numFmtId="168" fontId="33" fillId="0" borderId="0" xfId="0" applyNumberFormat="1" applyFont="1" applyAlignment="1">
      <alignment horizontal="right" vertical="center" wrapText="1"/>
    </xf>
    <xf numFmtId="165" fontId="33" fillId="2" borderId="0" xfId="0" applyNumberFormat="1" applyFont="1" applyFill="1" applyAlignment="1">
      <alignment horizontal="right" vertical="center" wrapText="1"/>
    </xf>
    <xf numFmtId="179" fontId="33" fillId="0" borderId="34" xfId="0" applyNumberFormat="1" applyFont="1" applyBorder="1" applyAlignment="1">
      <alignment horizontal="right" vertical="center" wrapText="1"/>
    </xf>
    <xf numFmtId="0" fontId="47" fillId="0" borderId="21" xfId="0" applyFont="1" applyBorder="1" applyAlignment="1">
      <alignment horizontal="right" vertical="center" wrapText="1"/>
    </xf>
    <xf numFmtId="0" fontId="48" fillId="0" borderId="21" xfId="0" applyFont="1" applyBorder="1" applyAlignment="1">
      <alignment horizontal="left" vertical="center" wrapText="1"/>
    </xf>
    <xf numFmtId="166" fontId="38" fillId="0" borderId="34" xfId="0" applyNumberFormat="1" applyFont="1" applyBorder="1" applyAlignment="1">
      <alignment horizontal="right" vertical="center" wrapText="1"/>
    </xf>
    <xf numFmtId="177" fontId="38" fillId="0" borderId="34" xfId="0" applyNumberFormat="1" applyFont="1" applyBorder="1" applyAlignment="1">
      <alignment horizontal="right" vertical="center" wrapText="1"/>
    </xf>
    <xf numFmtId="170" fontId="38" fillId="0" borderId="34" xfId="0" applyNumberFormat="1" applyFont="1" applyBorder="1" applyAlignment="1">
      <alignment horizontal="right" vertical="center" wrapText="1"/>
    </xf>
    <xf numFmtId="170" fontId="33" fillId="0" borderId="34" xfId="0" applyNumberFormat="1" applyFont="1" applyBorder="1" applyAlignment="1">
      <alignment horizontal="right" vertical="center" wrapText="1"/>
    </xf>
    <xf numFmtId="0" fontId="38" fillId="0" borderId="21" xfId="0" applyFont="1" applyBorder="1" applyAlignment="1">
      <alignment horizontal="right" vertical="center" wrapText="1"/>
    </xf>
    <xf numFmtId="0" fontId="38" fillId="2" borderId="21" xfId="0" applyFont="1" applyFill="1" applyBorder="1" applyAlignment="1">
      <alignment horizontal="left" vertical="center" wrapText="1"/>
    </xf>
    <xf numFmtId="0" fontId="38" fillId="2" borderId="21" xfId="0" applyFont="1" applyFill="1" applyBorder="1" applyAlignment="1">
      <alignment horizontal="right" vertical="center" wrapText="1"/>
    </xf>
    <xf numFmtId="0" fontId="1" fillId="0" borderId="21" xfId="0" applyFont="1" applyBorder="1" applyAlignment="1">
      <alignment horizontal="right" wrapText="1"/>
    </xf>
    <xf numFmtId="174" fontId="38" fillId="0" borderId="0" xfId="0" applyNumberFormat="1" applyFont="1" applyAlignment="1">
      <alignment horizontal="right" vertical="center" wrapText="1"/>
    </xf>
    <xf numFmtId="170" fontId="38" fillId="0" borderId="0" xfId="0" applyNumberFormat="1" applyFont="1" applyAlignment="1">
      <alignment horizontal="right" vertical="center" wrapText="1"/>
    </xf>
    <xf numFmtId="0" fontId="38" fillId="0" borderId="22" xfId="0" applyFont="1" applyBorder="1" applyAlignment="1">
      <alignment horizontal="left" vertical="center" wrapText="1"/>
    </xf>
    <xf numFmtId="170" fontId="38" fillId="0" borderId="22" xfId="0" applyNumberFormat="1" applyFont="1" applyBorder="1" applyAlignment="1">
      <alignment horizontal="right" vertical="center" wrapText="1"/>
    </xf>
    <xf numFmtId="174" fontId="33" fillId="0" borderId="22" xfId="0" applyNumberFormat="1" applyFont="1" applyBorder="1" applyAlignment="1">
      <alignment horizontal="right" vertical="center" wrapText="1"/>
    </xf>
    <xf numFmtId="174" fontId="38" fillId="0" borderId="20" xfId="0" applyNumberFormat="1" applyFont="1" applyBorder="1" applyAlignment="1">
      <alignment horizontal="right" vertical="center" wrapText="1"/>
    </xf>
    <xf numFmtId="174" fontId="33" fillId="0" borderId="20" xfId="0" applyNumberFormat="1" applyFont="1" applyBorder="1" applyAlignment="1">
      <alignment horizontal="right" vertical="center" wrapText="1"/>
    </xf>
    <xf numFmtId="174" fontId="33" fillId="2" borderId="20" xfId="0" applyNumberFormat="1" applyFont="1" applyFill="1" applyBorder="1" applyAlignment="1">
      <alignment horizontal="right" vertical="center" wrapText="1"/>
    </xf>
    <xf numFmtId="170" fontId="38" fillId="0" borderId="20" xfId="0" applyNumberFormat="1" applyFont="1" applyBorder="1" applyAlignment="1">
      <alignment horizontal="right" vertical="center" wrapText="1"/>
    </xf>
    <xf numFmtId="165" fontId="33" fillId="0" borderId="22" xfId="0" applyNumberFormat="1" applyFont="1" applyBorder="1" applyAlignment="1">
      <alignment horizontal="right" vertical="center" wrapText="1"/>
    </xf>
    <xf numFmtId="168" fontId="38" fillId="0" borderId="20" xfId="0" applyNumberFormat="1" applyFont="1" applyBorder="1" applyAlignment="1">
      <alignment horizontal="right" vertical="center" wrapText="1"/>
    </xf>
    <xf numFmtId="168" fontId="33" fillId="0" borderId="20" xfId="0" applyNumberFormat="1" applyFont="1" applyBorder="1" applyAlignment="1">
      <alignment horizontal="right" vertical="center" wrapText="1"/>
    </xf>
    <xf numFmtId="169" fontId="33" fillId="0" borderId="20" xfId="0" applyNumberFormat="1" applyFont="1" applyBorder="1" applyAlignment="1">
      <alignment horizontal="right" vertical="center" wrapText="1"/>
    </xf>
    <xf numFmtId="164" fontId="38" fillId="0" borderId="20" xfId="0" applyNumberFormat="1" applyFont="1" applyBorder="1" applyAlignment="1">
      <alignment horizontal="right" vertical="center" wrapText="1"/>
    </xf>
    <xf numFmtId="164" fontId="33" fillId="0" borderId="20" xfId="0" applyNumberFormat="1" applyFont="1" applyBorder="1" applyAlignment="1">
      <alignment horizontal="right" vertical="center" wrapText="1"/>
    </xf>
    <xf numFmtId="165" fontId="38" fillId="0" borderId="0" xfId="0" applyNumberFormat="1" applyFont="1" applyAlignment="1">
      <alignment horizontal="right" vertical="center" wrapText="1"/>
    </xf>
    <xf numFmtId="165" fontId="38" fillId="0" borderId="22" xfId="0" applyNumberFormat="1" applyFont="1" applyBorder="1" applyAlignment="1">
      <alignment horizontal="right" vertical="center" wrapText="1"/>
    </xf>
    <xf numFmtId="0" fontId="14" fillId="10" borderId="22" xfId="0" applyFont="1" applyFill="1" applyBorder="1" applyAlignment="1">
      <alignment horizontal="left" vertical="center" wrapText="1"/>
    </xf>
    <xf numFmtId="170" fontId="33" fillId="0" borderId="20" xfId="0" applyNumberFormat="1" applyFont="1" applyBorder="1" applyAlignment="1">
      <alignment horizontal="right" vertical="center" wrapText="1"/>
    </xf>
    <xf numFmtId="165" fontId="33" fillId="0" borderId="20" xfId="0" applyNumberFormat="1" applyFont="1" applyBorder="1" applyAlignment="1">
      <alignment horizontal="right" vertical="center" wrapText="1"/>
    </xf>
    <xf numFmtId="165" fontId="33" fillId="0" borderId="21" xfId="0" applyNumberFormat="1" applyFont="1" applyBorder="1" applyAlignment="1">
      <alignment horizontal="right" vertical="center" wrapText="1"/>
    </xf>
    <xf numFmtId="170" fontId="38" fillId="0" borderId="23" xfId="0" applyNumberFormat="1" applyFont="1" applyBorder="1" applyAlignment="1">
      <alignment horizontal="right" vertical="center" wrapText="1"/>
    </xf>
    <xf numFmtId="170" fontId="33" fillId="0" borderId="23" xfId="0" applyNumberFormat="1" applyFont="1" applyBorder="1" applyAlignment="1">
      <alignment horizontal="right" vertical="center" wrapText="1"/>
    </xf>
    <xf numFmtId="165" fontId="33" fillId="0" borderId="23" xfId="0" applyNumberFormat="1" applyFont="1" applyBorder="1" applyAlignment="1">
      <alignment horizontal="right" vertical="center" wrapText="1"/>
    </xf>
    <xf numFmtId="170" fontId="39" fillId="0" borderId="21" xfId="0" applyNumberFormat="1" applyFont="1" applyBorder="1" applyAlignment="1">
      <alignment horizontal="right" vertical="center" wrapText="1"/>
    </xf>
    <xf numFmtId="165" fontId="39" fillId="0" borderId="21" xfId="0" applyNumberFormat="1" applyFont="1" applyBorder="1" applyAlignment="1">
      <alignment horizontal="right" vertical="center" wrapText="1"/>
    </xf>
    <xf numFmtId="181" fontId="33" fillId="0" borderId="0" xfId="0" applyNumberFormat="1" applyFont="1" applyAlignment="1">
      <alignment horizontal="right" vertical="center" wrapText="1"/>
    </xf>
    <xf numFmtId="166" fontId="33" fillId="0" borderId="20" xfId="0" applyNumberFormat="1" applyFont="1" applyBorder="1" applyAlignment="1">
      <alignment horizontal="right" vertical="center" wrapText="1"/>
    </xf>
    <xf numFmtId="182" fontId="33" fillId="0" borderId="0" xfId="0" applyNumberFormat="1" applyFont="1" applyAlignment="1">
      <alignment horizontal="right" vertical="center" wrapText="1"/>
    </xf>
    <xf numFmtId="166" fontId="38" fillId="0" borderId="23" xfId="0" applyNumberFormat="1" applyFont="1" applyBorder="1" applyAlignment="1">
      <alignment horizontal="right" vertical="center" wrapText="1"/>
    </xf>
    <xf numFmtId="166" fontId="33" fillId="0" borderId="23" xfId="0" applyNumberFormat="1" applyFont="1" applyBorder="1" applyAlignment="1">
      <alignment horizontal="right" vertical="center" wrapText="1"/>
    </xf>
    <xf numFmtId="179" fontId="38" fillId="0" borderId="0" xfId="0" applyNumberFormat="1" applyFont="1" applyAlignment="1">
      <alignment horizontal="right" vertical="center" wrapText="1"/>
    </xf>
    <xf numFmtId="168" fontId="38" fillId="0" borderId="34" xfId="0" applyNumberFormat="1" applyFont="1" applyBorder="1" applyAlignment="1">
      <alignment horizontal="right" vertical="center" wrapText="1"/>
    </xf>
    <xf numFmtId="181" fontId="33" fillId="0" borderId="34" xfId="0" applyNumberFormat="1" applyFont="1" applyBorder="1" applyAlignment="1">
      <alignment horizontal="right" vertical="center" wrapText="1"/>
    </xf>
    <xf numFmtId="181" fontId="33" fillId="0" borderId="22" xfId="0" applyNumberFormat="1" applyFont="1" applyBorder="1" applyAlignment="1">
      <alignment horizontal="right" vertical="center" wrapText="1"/>
    </xf>
    <xf numFmtId="0" fontId="39" fillId="2" borderId="21" xfId="0" applyFont="1" applyFill="1" applyBorder="1" applyAlignment="1">
      <alignment horizontal="right" vertical="center" wrapText="1"/>
    </xf>
    <xf numFmtId="0" fontId="33" fillId="0" borderId="20" xfId="0" applyFont="1" applyBorder="1" applyAlignment="1">
      <alignment horizontal="right" vertical="center" wrapText="1"/>
    </xf>
    <xf numFmtId="0" fontId="38" fillId="2" borderId="21" xfId="0" applyFont="1" applyFill="1" applyBorder="1" applyAlignment="1">
      <alignment horizontal="center" vertical="center" wrapText="1"/>
    </xf>
    <xf numFmtId="0" fontId="41" fillId="0" borderId="21" xfId="0" applyFont="1" applyBorder="1" applyAlignment="1">
      <alignment horizontal="left" vertical="center" wrapText="1"/>
    </xf>
    <xf numFmtId="170" fontId="40" fillId="0" borderId="0" xfId="0" applyNumberFormat="1" applyFont="1" applyAlignment="1">
      <alignment horizontal="right" vertical="center" wrapText="1"/>
    </xf>
    <xf numFmtId="164" fontId="33" fillId="0" borderId="0" xfId="0" applyNumberFormat="1" applyFont="1" applyAlignment="1">
      <alignment horizontal="left" vertical="center" wrapText="1"/>
    </xf>
    <xf numFmtId="170" fontId="33" fillId="0" borderId="0" xfId="0" applyNumberFormat="1" applyFont="1" applyAlignment="1">
      <alignment horizontal="left" vertical="center" wrapText="1"/>
    </xf>
    <xf numFmtId="170" fontId="38" fillId="0" borderId="20" xfId="0" applyNumberFormat="1" applyFont="1" applyBorder="1" applyAlignment="1">
      <alignment horizontal="left" vertical="center" wrapText="1"/>
    </xf>
    <xf numFmtId="0" fontId="38" fillId="0" borderId="34" xfId="0" applyFont="1" applyBorder="1" applyAlignment="1">
      <alignment horizontal="left" vertical="center" wrapText="1"/>
    </xf>
    <xf numFmtId="174" fontId="33" fillId="0" borderId="34" xfId="0" applyNumberFormat="1" applyFont="1" applyBorder="1" applyAlignment="1">
      <alignment horizontal="right" vertical="center" wrapText="1"/>
    </xf>
    <xf numFmtId="182" fontId="33" fillId="0" borderId="34" xfId="0" applyNumberFormat="1" applyFont="1" applyBorder="1" applyAlignment="1">
      <alignment horizontal="right" vertical="center" wrapText="1"/>
    </xf>
    <xf numFmtId="0" fontId="38" fillId="0" borderId="32" xfId="0" applyFont="1" applyBorder="1" applyAlignment="1">
      <alignment horizontal="left" vertical="center" wrapText="1"/>
    </xf>
    <xf numFmtId="164" fontId="38" fillId="0" borderId="32" xfId="0" applyNumberFormat="1" applyFont="1" applyBorder="1" applyAlignment="1">
      <alignment horizontal="right" vertical="center" wrapText="1"/>
    </xf>
    <xf numFmtId="164" fontId="33" fillId="0" borderId="32" xfId="0" applyNumberFormat="1" applyFont="1" applyBorder="1" applyAlignment="1">
      <alignment horizontal="right" vertical="center" wrapText="1"/>
    </xf>
    <xf numFmtId="166" fontId="33" fillId="0" borderId="32" xfId="0" applyNumberFormat="1" applyFont="1" applyBorder="1" applyAlignment="1">
      <alignment horizontal="right" vertical="center" wrapText="1"/>
    </xf>
    <xf numFmtId="164" fontId="38" fillId="0" borderId="0" xfId="0" applyNumberFormat="1" applyFont="1" applyAlignment="1">
      <alignment horizontal="right" wrapText="1"/>
    </xf>
    <xf numFmtId="166" fontId="38" fillId="0" borderId="0" xfId="0" applyNumberFormat="1" applyFont="1" applyAlignment="1">
      <alignment horizontal="right" wrapText="1"/>
    </xf>
    <xf numFmtId="164" fontId="38" fillId="0" borderId="34" xfId="0" applyNumberFormat="1" applyFont="1" applyBorder="1" applyAlignment="1">
      <alignment horizontal="right" wrapText="1"/>
    </xf>
    <xf numFmtId="0" fontId="33" fillId="17" borderId="0" xfId="0" applyFont="1" applyFill="1" applyAlignment="1">
      <alignment horizontal="left" vertical="center" wrapText="1"/>
    </xf>
    <xf numFmtId="0" fontId="33" fillId="17" borderId="9" xfId="0" applyFont="1" applyFill="1" applyBorder="1" applyAlignment="1">
      <alignment horizontal="left" vertical="center" wrapText="1"/>
    </xf>
    <xf numFmtId="0" fontId="38" fillId="0" borderId="36" xfId="0" applyFont="1" applyBorder="1" applyAlignment="1">
      <alignment horizontal="left" vertical="center" wrapText="1"/>
    </xf>
    <xf numFmtId="164" fontId="38" fillId="0" borderId="36" xfId="0" applyNumberFormat="1" applyFont="1" applyBorder="1" applyAlignment="1">
      <alignment horizontal="right" vertical="center" wrapText="1"/>
    </xf>
    <xf numFmtId="164" fontId="33" fillId="0" borderId="36" xfId="0" applyNumberFormat="1" applyFont="1" applyBorder="1" applyAlignment="1">
      <alignment horizontal="right" vertical="center" wrapText="1"/>
    </xf>
    <xf numFmtId="166" fontId="33" fillId="0" borderId="36" xfId="0" applyNumberFormat="1" applyFont="1" applyBorder="1" applyAlignment="1">
      <alignment horizontal="right" vertical="center" wrapText="1"/>
    </xf>
    <xf numFmtId="0" fontId="14" fillId="10" borderId="9" xfId="0" applyFont="1" applyFill="1" applyBorder="1" applyAlignment="1">
      <alignment horizontal="left" vertical="center" wrapText="1"/>
    </xf>
    <xf numFmtId="0" fontId="39" fillId="0" borderId="15" xfId="0" applyFont="1" applyBorder="1" applyAlignment="1">
      <alignment horizontal="left" vertical="top" wrapText="1"/>
    </xf>
    <xf numFmtId="0" fontId="14" fillId="10" borderId="13" xfId="0" applyFont="1" applyFill="1" applyBorder="1" applyAlignment="1">
      <alignment horizontal="left" vertical="center" wrapText="1"/>
    </xf>
    <xf numFmtId="164" fontId="14" fillId="10" borderId="13" xfId="0" applyNumberFormat="1" applyFont="1" applyFill="1" applyBorder="1" applyAlignment="1">
      <alignment horizontal="right" vertical="center" wrapText="1"/>
    </xf>
    <xf numFmtId="0" fontId="14" fillId="10" borderId="13" xfId="0" applyFont="1" applyFill="1" applyBorder="1" applyAlignment="1">
      <alignment horizontal="right" vertical="center" wrapText="1"/>
    </xf>
    <xf numFmtId="164" fontId="38" fillId="0" borderId="15" xfId="0" applyNumberFormat="1" applyFont="1" applyBorder="1" applyAlignment="1">
      <alignment horizontal="right" vertical="center" wrapText="1"/>
    </xf>
    <xf numFmtId="164" fontId="33" fillId="0" borderId="15" xfId="0" applyNumberFormat="1" applyFont="1" applyBorder="1" applyAlignment="1">
      <alignment horizontal="right" vertical="center" wrapText="1"/>
    </xf>
    <xf numFmtId="166" fontId="33" fillId="0" borderId="15" xfId="0" applyNumberFormat="1" applyFont="1" applyBorder="1" applyAlignment="1">
      <alignment horizontal="right" vertical="center" wrapText="1"/>
    </xf>
    <xf numFmtId="164" fontId="38" fillId="0" borderId="22" xfId="0" applyNumberFormat="1" applyFont="1" applyBorder="1" applyAlignment="1">
      <alignment horizontal="right" vertical="center" wrapText="1"/>
    </xf>
    <xf numFmtId="0" fontId="41" fillId="0" borderId="0" xfId="0" applyFont="1" applyAlignment="1">
      <alignment horizontal="left" vertical="center" wrapText="1"/>
    </xf>
    <xf numFmtId="164" fontId="14" fillId="10" borderId="9" xfId="0" applyNumberFormat="1" applyFont="1" applyFill="1" applyBorder="1" applyAlignment="1">
      <alignment horizontal="right" vertical="center" wrapText="1"/>
    </xf>
    <xf numFmtId="0" fontId="14" fillId="10" borderId="15" xfId="0" applyFont="1" applyFill="1" applyBorder="1" applyAlignment="1">
      <alignment horizontal="left" vertical="center" wrapText="1"/>
    </xf>
    <xf numFmtId="170" fontId="33" fillId="2" borderId="9" xfId="0" applyNumberFormat="1" applyFont="1" applyFill="1" applyBorder="1" applyAlignment="1">
      <alignment horizontal="right" vertical="center" wrapText="1"/>
    </xf>
    <xf numFmtId="165" fontId="33" fillId="2" borderId="9" xfId="0" applyNumberFormat="1" applyFont="1" applyFill="1" applyBorder="1" applyAlignment="1">
      <alignment horizontal="right" vertical="center" wrapText="1"/>
    </xf>
    <xf numFmtId="165" fontId="33" fillId="0" borderId="9" xfId="0" applyNumberFormat="1" applyFont="1" applyBorder="1" applyAlignment="1">
      <alignment horizontal="right" vertical="center" wrapText="1"/>
    </xf>
    <xf numFmtId="170" fontId="38" fillId="0" borderId="36" xfId="0" applyNumberFormat="1" applyFont="1" applyBorder="1" applyAlignment="1">
      <alignment horizontal="right" vertical="center" wrapText="1"/>
    </xf>
    <xf numFmtId="165" fontId="33" fillId="0" borderId="36" xfId="0" applyNumberFormat="1" applyFont="1" applyBorder="1" applyAlignment="1">
      <alignment horizontal="right" vertical="center" wrapText="1"/>
    </xf>
    <xf numFmtId="170" fontId="33" fillId="0" borderId="15" xfId="0" applyNumberFormat="1" applyFont="1" applyBorder="1" applyAlignment="1">
      <alignment horizontal="right" vertical="center" wrapText="1"/>
    </xf>
    <xf numFmtId="165" fontId="33" fillId="0" borderId="15" xfId="0" applyNumberFormat="1" applyFont="1" applyBorder="1" applyAlignment="1">
      <alignment horizontal="right" vertical="center" wrapText="1"/>
    </xf>
    <xf numFmtId="0" fontId="38" fillId="0" borderId="13" xfId="0" applyFont="1" applyBorder="1" applyAlignment="1">
      <alignment horizontal="left" vertical="center" wrapText="1"/>
    </xf>
    <xf numFmtId="165" fontId="38" fillId="0" borderId="13" xfId="0" applyNumberFormat="1" applyFont="1" applyBorder="1" applyAlignment="1">
      <alignment horizontal="right" vertical="center" wrapText="1"/>
    </xf>
    <xf numFmtId="170" fontId="33" fillId="0" borderId="13" xfId="0" applyNumberFormat="1" applyFont="1" applyBorder="1" applyAlignment="1">
      <alignment horizontal="right" vertical="center" wrapText="1"/>
    </xf>
    <xf numFmtId="165" fontId="33" fillId="0" borderId="13" xfId="0" applyNumberFormat="1" applyFont="1" applyBorder="1" applyAlignment="1">
      <alignment horizontal="right" vertical="center" wrapText="1"/>
    </xf>
    <xf numFmtId="0" fontId="33" fillId="2" borderId="15" xfId="0" applyFont="1" applyFill="1" applyBorder="1" applyAlignment="1">
      <alignment horizontal="left" vertical="center" wrapText="1"/>
    </xf>
    <xf numFmtId="165" fontId="33" fillId="2" borderId="15" xfId="0" applyNumberFormat="1" applyFont="1" applyFill="1" applyBorder="1" applyAlignment="1">
      <alignment horizontal="right" vertical="center" wrapText="1"/>
    </xf>
    <xf numFmtId="177" fontId="33" fillId="0" borderId="15" xfId="0" applyNumberFormat="1" applyFont="1" applyBorder="1" applyAlignment="1">
      <alignment horizontal="right" vertical="center" wrapText="1"/>
    </xf>
    <xf numFmtId="170" fontId="33" fillId="2" borderId="15" xfId="0" applyNumberFormat="1" applyFont="1" applyFill="1" applyBorder="1" applyAlignment="1">
      <alignment horizontal="right" vertical="center" wrapText="1"/>
    </xf>
    <xf numFmtId="165" fontId="38" fillId="0" borderId="36" xfId="0" applyNumberFormat="1" applyFont="1" applyBorder="1" applyAlignment="1">
      <alignment horizontal="right" vertical="center" wrapText="1"/>
    </xf>
    <xf numFmtId="170" fontId="33" fillId="0" borderId="36" xfId="0" applyNumberFormat="1" applyFont="1" applyBorder="1" applyAlignment="1">
      <alignment horizontal="right" vertical="center" wrapText="1"/>
    </xf>
    <xf numFmtId="0" fontId="34" fillId="0" borderId="37" xfId="0" applyFont="1" applyBorder="1" applyAlignment="1">
      <alignment horizontal="right" wrapText="1"/>
    </xf>
    <xf numFmtId="181" fontId="38" fillId="0" borderId="36" xfId="0" applyNumberFormat="1" applyFont="1" applyBorder="1" applyAlignment="1">
      <alignment horizontal="right" vertical="center" wrapText="1"/>
    </xf>
    <xf numFmtId="0" fontId="49" fillId="2" borderId="0" xfId="0" applyFont="1" applyFill="1" applyAlignment="1">
      <alignment horizontal="left" wrapText="1"/>
    </xf>
    <xf numFmtId="0" fontId="38" fillId="17" borderId="0" xfId="0" applyFont="1" applyFill="1" applyAlignment="1">
      <alignment horizontal="right" vertical="center" wrapText="1"/>
    </xf>
    <xf numFmtId="0" fontId="33" fillId="17" borderId="0" xfId="0" applyFont="1" applyFill="1" applyAlignment="1">
      <alignment horizontal="right" vertical="center" wrapText="1"/>
    </xf>
    <xf numFmtId="0" fontId="38" fillId="17" borderId="9" xfId="0" applyFont="1" applyFill="1" applyBorder="1" applyAlignment="1">
      <alignment horizontal="right" vertical="center" wrapText="1"/>
    </xf>
    <xf numFmtId="0" fontId="33" fillId="17" borderId="9" xfId="0" applyFont="1" applyFill="1" applyBorder="1" applyAlignment="1">
      <alignment horizontal="right" vertical="center" wrapText="1"/>
    </xf>
    <xf numFmtId="0" fontId="49" fillId="0" borderId="21" xfId="0" applyFont="1" applyBorder="1" applyAlignment="1">
      <alignment horizontal="left" vertical="center" wrapText="1"/>
    </xf>
    <xf numFmtId="0" fontId="50" fillId="0" borderId="21" xfId="0" applyFont="1" applyBorder="1" applyAlignment="1">
      <alignment horizontal="left" vertical="center" wrapText="1"/>
    </xf>
    <xf numFmtId="0" fontId="50" fillId="0" borderId="21" xfId="0" applyFont="1" applyBorder="1" applyAlignment="1">
      <alignment horizontal="right" vertical="top" wrapText="1"/>
    </xf>
    <xf numFmtId="0" fontId="50" fillId="0" borderId="15" xfId="0" applyFont="1" applyBorder="1" applyAlignment="1">
      <alignment horizontal="right" vertical="top" wrapText="1"/>
    </xf>
    <xf numFmtId="0" fontId="34" fillId="0" borderId="15" xfId="0" applyFont="1" applyBorder="1" applyAlignment="1">
      <alignment horizontal="left" wrapText="1"/>
    </xf>
    <xf numFmtId="0" fontId="14" fillId="10" borderId="15" xfId="0" applyFont="1" applyFill="1" applyBorder="1" applyAlignment="1">
      <alignment horizontal="right" vertical="center" wrapText="1"/>
    </xf>
    <xf numFmtId="0" fontId="33" fillId="2" borderId="25" xfId="0" applyFont="1" applyFill="1" applyBorder="1" applyAlignment="1">
      <alignment horizontal="left" vertical="center" wrapText="1"/>
    </xf>
    <xf numFmtId="0" fontId="50" fillId="0" borderId="25" xfId="0" applyFont="1" applyBorder="1" applyAlignment="1">
      <alignment horizontal="left" vertical="center" wrapText="1"/>
    </xf>
    <xf numFmtId="0" fontId="50" fillId="0" borderId="25" xfId="0" applyFont="1" applyBorder="1" applyAlignment="1">
      <alignment horizontal="right" vertical="center" wrapText="1"/>
    </xf>
    <xf numFmtId="0" fontId="34" fillId="0" borderId="25" xfId="0" applyFont="1" applyBorder="1" applyAlignment="1">
      <alignment horizontal="left" wrapText="1"/>
    </xf>
    <xf numFmtId="0" fontId="1" fillId="0" borderId="15" xfId="0" applyFont="1" applyBorder="1" applyAlignment="1">
      <alignment horizontal="left" wrapText="1"/>
    </xf>
    <xf numFmtId="0" fontId="1" fillId="0" borderId="25" xfId="0" applyFont="1" applyBorder="1" applyAlignment="1">
      <alignment horizontal="left" wrapText="1"/>
    </xf>
    <xf numFmtId="0" fontId="14" fillId="10" borderId="0" xfId="0" applyFont="1" applyFill="1" applyAlignment="1">
      <alignment horizontal="center" vertical="center" wrapText="1"/>
    </xf>
    <xf numFmtId="164" fontId="44" fillId="0" borderId="0" xfId="0" applyNumberFormat="1" applyFont="1" applyAlignment="1">
      <alignment horizontal="right" vertical="center" wrapText="1"/>
    </xf>
    <xf numFmtId="0" fontId="44" fillId="0" borderId="0" xfId="0" applyFont="1" applyAlignment="1">
      <alignment horizontal="right" vertical="center" wrapText="1"/>
    </xf>
    <xf numFmtId="166" fontId="44" fillId="0" borderId="0" xfId="0" applyNumberFormat="1" applyFont="1" applyAlignment="1">
      <alignment horizontal="right" vertical="center" wrapText="1"/>
    </xf>
    <xf numFmtId="164" fontId="44" fillId="0" borderId="22" xfId="0" applyNumberFormat="1" applyFont="1" applyBorder="1" applyAlignment="1">
      <alignment horizontal="right" vertical="center" wrapText="1"/>
    </xf>
    <xf numFmtId="0" fontId="44" fillId="0" borderId="22" xfId="0" applyFont="1" applyBorder="1" applyAlignment="1">
      <alignment horizontal="right" vertical="center" wrapText="1"/>
    </xf>
    <xf numFmtId="166" fontId="44" fillId="0" borderId="22" xfId="0" applyNumberFormat="1" applyFont="1" applyBorder="1" applyAlignment="1">
      <alignment horizontal="right" vertical="center" wrapText="1"/>
    </xf>
    <xf numFmtId="0" fontId="51" fillId="0" borderId="35" xfId="0" applyFont="1" applyBorder="1" applyAlignment="1">
      <alignment horizontal="left" vertical="center" wrapText="1"/>
    </xf>
    <xf numFmtId="164" fontId="51" fillId="0" borderId="35" xfId="0" applyNumberFormat="1" applyFont="1" applyBorder="1" applyAlignment="1">
      <alignment horizontal="right" vertical="center" wrapText="1"/>
    </xf>
    <xf numFmtId="164" fontId="44" fillId="0" borderId="35" xfId="0" applyNumberFormat="1" applyFont="1" applyBorder="1" applyAlignment="1">
      <alignment horizontal="right" vertical="center" wrapText="1"/>
    </xf>
    <xf numFmtId="0" fontId="51" fillId="0" borderId="35" xfId="0" applyFont="1" applyBorder="1" applyAlignment="1">
      <alignment horizontal="right" vertical="center" wrapText="1"/>
    </xf>
    <xf numFmtId="166" fontId="51" fillId="0" borderId="35" xfId="0" applyNumberFormat="1" applyFont="1" applyBorder="1" applyAlignment="1">
      <alignment horizontal="right" vertical="center" wrapText="1"/>
    </xf>
    <xf numFmtId="0" fontId="52" fillId="0" borderId="0" xfId="0" applyFont="1" applyAlignment="1">
      <alignment horizontal="left" vertical="center" wrapText="1"/>
    </xf>
    <xf numFmtId="0" fontId="38" fillId="0" borderId="35" xfId="0" applyFont="1" applyBorder="1" applyAlignment="1">
      <alignment horizontal="left" vertical="center" wrapText="1"/>
    </xf>
    <xf numFmtId="0" fontId="33" fillId="0" borderId="20" xfId="0" applyFont="1" applyBorder="1" applyAlignment="1">
      <alignment horizontal="left" vertical="center" wrapText="1"/>
    </xf>
    <xf numFmtId="0" fontId="33" fillId="0" borderId="23" xfId="0" applyFont="1" applyBorder="1" applyAlignment="1">
      <alignment horizontal="left" vertical="center" wrapText="1"/>
    </xf>
    <xf numFmtId="0" fontId="48" fillId="0" borderId="0" xfId="0" applyFont="1" applyAlignment="1">
      <alignment horizontal="left" vertical="center" wrapText="1"/>
    </xf>
    <xf numFmtId="0" fontId="14" fillId="2" borderId="0" xfId="0" applyFont="1" applyFill="1" applyAlignment="1">
      <alignment horizontal="left" vertical="center" wrapText="1"/>
    </xf>
    <xf numFmtId="0" fontId="33" fillId="0" borderId="23" xfId="0" applyFont="1" applyBorder="1" applyAlignment="1">
      <alignment horizontal="center" vertical="center" wrapText="1"/>
    </xf>
    <xf numFmtId="183" fontId="38" fillId="0" borderId="20" xfId="0" applyNumberFormat="1" applyFont="1" applyBorder="1" applyAlignment="1">
      <alignment horizontal="right" vertical="center" wrapText="1"/>
    </xf>
    <xf numFmtId="0" fontId="55" fillId="0" borderId="0" xfId="0" applyFont="1" applyAlignment="1">
      <alignment horizontal="left" vertical="center" wrapText="1"/>
    </xf>
    <xf numFmtId="0" fontId="14" fillId="10" borderId="22" xfId="0" applyFont="1" applyFill="1" applyBorder="1" applyAlignment="1">
      <alignment horizontal="right" vertical="center" wrapText="1"/>
    </xf>
    <xf numFmtId="164" fontId="38" fillId="2" borderId="20" xfId="0" applyNumberFormat="1" applyFont="1" applyFill="1" applyBorder="1" applyAlignment="1">
      <alignment horizontal="right" vertical="center" wrapText="1"/>
    </xf>
    <xf numFmtId="165" fontId="38" fillId="0" borderId="20" xfId="0" applyNumberFormat="1" applyFont="1" applyBorder="1" applyAlignment="1">
      <alignment horizontal="right" vertical="center" wrapText="1"/>
    </xf>
    <xf numFmtId="0" fontId="33" fillId="0" borderId="38" xfId="0" applyFont="1" applyBorder="1" applyAlignment="1">
      <alignment horizontal="right" vertical="center" wrapText="1"/>
    </xf>
    <xf numFmtId="165" fontId="38" fillId="2" borderId="20" xfId="0" applyNumberFormat="1" applyFont="1" applyFill="1" applyBorder="1" applyAlignment="1">
      <alignment horizontal="right" vertical="center" wrapText="1"/>
    </xf>
    <xf numFmtId="165" fontId="33" fillId="2" borderId="20" xfId="0" applyNumberFormat="1" applyFont="1" applyFill="1" applyBorder="1" applyAlignment="1">
      <alignment horizontal="right" vertical="center" wrapText="1"/>
    </xf>
    <xf numFmtId="170" fontId="33" fillId="2" borderId="20" xfId="0" applyNumberFormat="1" applyFont="1" applyFill="1" applyBorder="1" applyAlignment="1">
      <alignment horizontal="right" vertical="center" wrapText="1"/>
    </xf>
    <xf numFmtId="165" fontId="33" fillId="2" borderId="21" xfId="0" applyNumberFormat="1" applyFont="1" applyFill="1" applyBorder="1" applyAlignment="1">
      <alignment horizontal="right" vertical="center" wrapText="1"/>
    </xf>
    <xf numFmtId="170" fontId="33" fillId="2" borderId="21" xfId="0" applyNumberFormat="1" applyFont="1" applyFill="1" applyBorder="1" applyAlignment="1">
      <alignment horizontal="right" vertical="center" wrapText="1"/>
    </xf>
    <xf numFmtId="165" fontId="33" fillId="2" borderId="22" xfId="0" applyNumberFormat="1" applyFont="1" applyFill="1" applyBorder="1" applyAlignment="1">
      <alignment horizontal="right" vertical="center" wrapText="1"/>
    </xf>
    <xf numFmtId="170" fontId="33" fillId="2" borderId="22" xfId="0" applyNumberFormat="1" applyFont="1" applyFill="1" applyBorder="1" applyAlignment="1">
      <alignment horizontal="right" vertical="center" wrapText="1"/>
    </xf>
    <xf numFmtId="0" fontId="33" fillId="0" borderId="39" xfId="0" applyFont="1" applyBorder="1" applyAlignment="1">
      <alignment horizontal="left" vertical="center" wrapText="1"/>
    </xf>
    <xf numFmtId="164" fontId="38" fillId="0" borderId="39" xfId="0" applyNumberFormat="1" applyFont="1" applyBorder="1" applyAlignment="1">
      <alignment horizontal="right" vertical="center" wrapText="1"/>
    </xf>
    <xf numFmtId="164" fontId="33" fillId="0" borderId="39" xfId="0" applyNumberFormat="1" applyFont="1" applyBorder="1" applyAlignment="1">
      <alignment horizontal="right" vertical="center" wrapText="1"/>
    </xf>
    <xf numFmtId="0" fontId="33" fillId="2" borderId="39" xfId="0" applyFont="1" applyFill="1" applyBorder="1" applyAlignment="1">
      <alignment horizontal="left" vertical="center" wrapText="1"/>
    </xf>
    <xf numFmtId="164" fontId="38" fillId="2" borderId="39" xfId="0" applyNumberFormat="1" applyFont="1" applyFill="1" applyBorder="1" applyAlignment="1">
      <alignment horizontal="right" vertical="center" wrapText="1"/>
    </xf>
    <xf numFmtId="170" fontId="38" fillId="0" borderId="39" xfId="0" applyNumberFormat="1" applyFont="1" applyBorder="1" applyAlignment="1">
      <alignment horizontal="right" vertical="center" wrapText="1"/>
    </xf>
    <xf numFmtId="165" fontId="33" fillId="0" borderId="39" xfId="0" applyNumberFormat="1" applyFont="1" applyBorder="1" applyAlignment="1">
      <alignment horizontal="right" vertical="center" wrapText="1"/>
    </xf>
    <xf numFmtId="170" fontId="33" fillId="0" borderId="39" xfId="0" applyNumberFormat="1" applyFont="1" applyBorder="1" applyAlignment="1">
      <alignment horizontal="right" vertical="center" wrapText="1"/>
    </xf>
    <xf numFmtId="0" fontId="33" fillId="0" borderId="39" xfId="0" applyFont="1" applyBorder="1" applyAlignment="1">
      <alignment horizontal="right" vertical="center" wrapText="1"/>
    </xf>
    <xf numFmtId="166" fontId="38" fillId="0" borderId="39" xfId="0" applyNumberFormat="1" applyFont="1" applyBorder="1" applyAlignment="1">
      <alignment horizontal="right" vertical="center" wrapText="1"/>
    </xf>
    <xf numFmtId="166" fontId="33" fillId="0" borderId="39" xfId="0" applyNumberFormat="1" applyFont="1" applyBorder="1" applyAlignment="1">
      <alignment horizontal="right" vertical="center" wrapText="1"/>
    </xf>
    <xf numFmtId="0" fontId="33" fillId="0" borderId="38" xfId="0" applyFont="1" applyBorder="1" applyAlignment="1">
      <alignment horizontal="left" vertical="center" wrapText="1"/>
    </xf>
    <xf numFmtId="164" fontId="40" fillId="0" borderId="0" xfId="0" applyNumberFormat="1" applyFont="1" applyAlignment="1">
      <alignment horizontal="right" vertical="center" wrapText="1"/>
    </xf>
    <xf numFmtId="165" fontId="33" fillId="0" borderId="22" xfId="0" applyNumberFormat="1" applyFont="1" applyBorder="1" applyAlignment="1">
      <alignment horizontal="left" vertical="center" wrapText="1"/>
    </xf>
    <xf numFmtId="0" fontId="39" fillId="0" borderId="40" xfId="0" applyFont="1" applyBorder="1" applyAlignment="1">
      <alignment horizontal="left" vertical="center" wrapText="1"/>
    </xf>
    <xf numFmtId="164" fontId="33" fillId="0" borderId="22" xfId="0" applyNumberFormat="1" applyFont="1" applyBorder="1" applyAlignment="1">
      <alignment horizontal="left" vertical="center" wrapText="1"/>
    </xf>
    <xf numFmtId="164" fontId="38" fillId="0" borderId="20" xfId="0" applyNumberFormat="1" applyFont="1" applyBorder="1" applyAlignment="1">
      <alignment horizontal="left" vertical="center" wrapText="1"/>
    </xf>
    <xf numFmtId="181" fontId="38" fillId="0" borderId="20" xfId="0" applyNumberFormat="1" applyFont="1" applyBorder="1" applyAlignment="1">
      <alignment horizontal="right" vertical="center" wrapText="1"/>
    </xf>
    <xf numFmtId="0" fontId="39" fillId="0" borderId="21" xfId="0" applyFont="1" applyBorder="1" applyAlignment="1">
      <alignment horizontal="justify" vertical="center" wrapText="1"/>
    </xf>
    <xf numFmtId="0" fontId="39" fillId="0" borderId="0" xfId="0" applyFont="1" applyAlignment="1">
      <alignment horizontal="justify" vertical="center" wrapText="1"/>
    </xf>
    <xf numFmtId="181" fontId="33" fillId="0" borderId="9" xfId="0" applyNumberFormat="1" applyFont="1" applyBorder="1" applyAlignment="1">
      <alignment horizontal="right" vertical="center" wrapText="1"/>
    </xf>
    <xf numFmtId="181" fontId="33" fillId="0" borderId="36" xfId="0" applyNumberFormat="1" applyFont="1" applyBorder="1" applyAlignment="1">
      <alignment horizontal="right" vertical="center" wrapText="1"/>
    </xf>
    <xf numFmtId="0" fontId="33" fillId="0" borderId="28" xfId="0" applyFont="1" applyBorder="1" applyAlignment="1">
      <alignment horizontal="left" vertical="center" wrapText="1"/>
    </xf>
    <xf numFmtId="180" fontId="33" fillId="0" borderId="0" xfId="0" applyNumberFormat="1" applyFont="1" applyAlignment="1">
      <alignment horizontal="right" vertical="center" wrapText="1"/>
    </xf>
    <xf numFmtId="0" fontId="39" fillId="0" borderId="25" xfId="0" applyFont="1" applyBorder="1" applyAlignment="1">
      <alignment horizontal="left" vertical="center" wrapText="1"/>
    </xf>
    <xf numFmtId="166" fontId="38" fillId="0" borderId="32" xfId="0" applyNumberFormat="1" applyFont="1" applyBorder="1" applyAlignment="1">
      <alignment horizontal="right" vertical="center" wrapText="1"/>
    </xf>
    <xf numFmtId="180" fontId="38" fillId="0" borderId="22" xfId="0" applyNumberFormat="1" applyFont="1" applyBorder="1" applyAlignment="1">
      <alignment horizontal="right" vertical="center" wrapText="1"/>
    </xf>
    <xf numFmtId="168" fontId="38" fillId="0" borderId="22" xfId="0" applyNumberFormat="1" applyFont="1" applyBorder="1" applyAlignment="1">
      <alignment horizontal="right" vertical="center" wrapText="1"/>
    </xf>
    <xf numFmtId="181" fontId="33" fillId="0" borderId="32" xfId="0" applyNumberFormat="1" applyFont="1" applyBorder="1" applyAlignment="1">
      <alignment horizontal="right" vertical="center" wrapText="1"/>
    </xf>
    <xf numFmtId="181" fontId="33" fillId="0" borderId="20" xfId="0" applyNumberFormat="1" applyFont="1" applyBorder="1" applyAlignment="1">
      <alignment horizontal="right" vertical="center" wrapText="1"/>
    </xf>
    <xf numFmtId="164" fontId="33" fillId="0" borderId="34" xfId="0" applyNumberFormat="1" applyFont="1" applyBorder="1" applyAlignment="1">
      <alignment horizontal="left" vertical="center" wrapText="1"/>
    </xf>
    <xf numFmtId="0" fontId="14" fillId="2" borderId="0" xfId="0" applyFont="1" applyFill="1" applyAlignment="1">
      <alignment horizontal="right" vertical="center" wrapText="1"/>
    </xf>
    <xf numFmtId="0" fontId="33" fillId="2" borderId="0" xfId="0" applyFont="1" applyFill="1" applyAlignment="1">
      <alignment horizontal="center" vertical="center" wrapText="1"/>
    </xf>
    <xf numFmtId="0" fontId="39" fillId="2" borderId="0" xfId="0" applyFont="1" applyFill="1" applyAlignment="1">
      <alignment horizontal="center" vertical="center" wrapText="1"/>
    </xf>
    <xf numFmtId="0" fontId="39" fillId="0" borderId="21" xfId="0" applyFont="1" applyBorder="1" applyAlignment="1">
      <alignment horizontal="center" vertical="center" wrapText="1"/>
    </xf>
    <xf numFmtId="0" fontId="33" fillId="0" borderId="36" xfId="0" applyFont="1" applyBorder="1" applyAlignment="1">
      <alignment horizontal="right" vertical="center" wrapText="1"/>
    </xf>
    <xf numFmtId="0" fontId="49" fillId="0" borderId="0" xfId="0" applyFont="1" applyAlignment="1">
      <alignment horizontal="left" wrapText="1"/>
    </xf>
    <xf numFmtId="165" fontId="38" fillId="0" borderId="28" xfId="0" applyNumberFormat="1" applyFont="1" applyBorder="1" applyAlignment="1">
      <alignment horizontal="right" vertical="center" wrapText="1"/>
    </xf>
    <xf numFmtId="0" fontId="33" fillId="0" borderId="21" xfId="0" applyFont="1" applyBorder="1" applyAlignment="1">
      <alignment horizontal="left" wrapText="1"/>
    </xf>
    <xf numFmtId="0" fontId="50" fillId="0" borderId="25" xfId="0" applyFont="1" applyBorder="1" applyAlignment="1">
      <alignment horizontal="left" wrapText="1"/>
    </xf>
    <xf numFmtId="0" fontId="50" fillId="0" borderId="21" xfId="0" applyFont="1" applyBorder="1" applyAlignment="1">
      <alignment horizontal="left" wrapText="1"/>
    </xf>
    <xf numFmtId="166" fontId="38" fillId="2" borderId="0" xfId="0" applyNumberFormat="1" applyFont="1" applyFill="1" applyAlignment="1">
      <alignment horizontal="right" vertical="center" wrapText="1"/>
    </xf>
    <xf numFmtId="0" fontId="38" fillId="0" borderId="28" xfId="0" applyFont="1" applyBorder="1" applyAlignment="1">
      <alignment horizontal="left" vertical="center" wrapText="1"/>
    </xf>
    <xf numFmtId="0" fontId="43" fillId="0" borderId="23" xfId="0" applyFont="1" applyBorder="1" applyAlignment="1">
      <alignment horizontal="right" vertical="center" wrapText="1"/>
    </xf>
    <xf numFmtId="0" fontId="43" fillId="10" borderId="0" xfId="0" applyFont="1" applyFill="1" applyAlignment="1">
      <alignment horizontal="right" vertical="center" wrapText="1"/>
    </xf>
    <xf numFmtId="0" fontId="38" fillId="10" borderId="0" xfId="0" applyFont="1" applyFill="1" applyAlignment="1">
      <alignment horizontal="right" vertical="center" wrapText="1"/>
    </xf>
    <xf numFmtId="0" fontId="33" fillId="2" borderId="21" xfId="0" applyFont="1" applyFill="1" applyBorder="1" applyAlignment="1">
      <alignment horizontal="left" vertical="center" wrapText="1"/>
    </xf>
    <xf numFmtId="164" fontId="33" fillId="0" borderId="9" xfId="0" applyNumberFormat="1" applyFont="1" applyBorder="1" applyAlignment="1">
      <alignment horizontal="left" vertical="center" wrapText="1"/>
    </xf>
    <xf numFmtId="164" fontId="33" fillId="2" borderId="9" xfId="0" applyNumberFormat="1" applyFont="1" applyFill="1" applyBorder="1" applyAlignment="1">
      <alignment horizontal="right" vertical="center" wrapText="1"/>
    </xf>
    <xf numFmtId="184" fontId="33" fillId="0" borderId="0" xfId="0" applyNumberFormat="1" applyFont="1" applyAlignment="1">
      <alignment vertical="center" wrapText="1"/>
    </xf>
    <xf numFmtId="184" fontId="33" fillId="0" borderId="9" xfId="0" applyNumberFormat="1" applyFont="1" applyBorder="1" applyAlignment="1">
      <alignment vertical="center" wrapText="1"/>
    </xf>
    <xf numFmtId="184" fontId="38" fillId="0" borderId="32" xfId="0" applyNumberFormat="1" applyFont="1" applyBorder="1" applyAlignment="1">
      <alignment vertical="center" wrapText="1"/>
    </xf>
    <xf numFmtId="167" fontId="33" fillId="0" borderId="34" xfId="0" applyNumberFormat="1" applyFont="1" applyBorder="1" applyAlignment="1">
      <alignment vertical="center" wrapText="1"/>
    </xf>
    <xf numFmtId="164" fontId="57" fillId="0" borderId="0" xfId="0" applyNumberFormat="1" applyFont="1" applyAlignment="1">
      <alignment horizontal="right" vertical="center" wrapText="1"/>
    </xf>
    <xf numFmtId="167" fontId="38" fillId="0" borderId="34" xfId="0" applyNumberFormat="1" applyFont="1" applyBorder="1" applyAlignment="1">
      <alignment vertical="center" wrapText="1"/>
    </xf>
    <xf numFmtId="0" fontId="39" fillId="2" borderId="15" xfId="0" applyFont="1" applyFill="1" applyBorder="1" applyAlignment="1">
      <alignment horizontal="right" vertical="center" wrapText="1"/>
    </xf>
    <xf numFmtId="0" fontId="39" fillId="2" borderId="0" xfId="0" applyFont="1" applyFill="1" applyAlignment="1">
      <alignment horizontal="right" vertical="center" wrapText="1"/>
    </xf>
    <xf numFmtId="168" fontId="33" fillId="0" borderId="0" xfId="0" applyNumberFormat="1" applyFont="1" applyAlignment="1">
      <alignment horizontal="left" vertical="center" wrapText="1"/>
    </xf>
    <xf numFmtId="174" fontId="40" fillId="0" borderId="0" xfId="0" applyNumberFormat="1" applyFont="1" applyAlignment="1">
      <alignment horizontal="right" vertical="center" wrapText="1"/>
    </xf>
    <xf numFmtId="164" fontId="58" fillId="10" borderId="0" xfId="0" applyNumberFormat="1" applyFont="1" applyFill="1" applyAlignment="1">
      <alignment horizontal="right" vertical="center" wrapText="1"/>
    </xf>
    <xf numFmtId="179" fontId="33" fillId="0" borderId="0" xfId="0" applyNumberFormat="1" applyFont="1" applyAlignment="1">
      <alignment horizontal="left" vertical="center" wrapText="1"/>
    </xf>
    <xf numFmtId="166" fontId="38" fillId="0" borderId="35" xfId="0" applyNumberFormat="1" applyFont="1" applyBorder="1" applyAlignment="1">
      <alignment horizontal="right" vertical="center" wrapText="1"/>
    </xf>
    <xf numFmtId="164" fontId="38" fillId="0" borderId="35" xfId="0" applyNumberFormat="1" applyFont="1" applyBorder="1" applyAlignment="1">
      <alignment horizontal="right" vertical="center" wrapText="1"/>
    </xf>
    <xf numFmtId="164" fontId="38" fillId="0" borderId="13" xfId="0" applyNumberFormat="1" applyFont="1" applyBorder="1" applyAlignment="1">
      <alignment horizontal="right" vertical="center" wrapText="1"/>
    </xf>
    <xf numFmtId="166" fontId="38" fillId="0" borderId="36" xfId="0" applyNumberFormat="1" applyFont="1" applyBorder="1" applyAlignment="1">
      <alignment horizontal="right" vertical="center" wrapText="1"/>
    </xf>
    <xf numFmtId="167" fontId="38" fillId="0" borderId="28" xfId="0" applyNumberFormat="1" applyFont="1" applyBorder="1" applyAlignment="1">
      <alignment vertical="center" wrapText="1"/>
    </xf>
    <xf numFmtId="164" fontId="38" fillId="0" borderId="28" xfId="0" applyNumberFormat="1" applyFont="1" applyBorder="1" applyAlignment="1">
      <alignment horizontal="left" vertical="center" wrapText="1"/>
    </xf>
    <xf numFmtId="164" fontId="38" fillId="0" borderId="28" xfId="0" applyNumberFormat="1" applyFont="1" applyBorder="1" applyAlignment="1">
      <alignment horizontal="right" vertical="center" wrapText="1"/>
    </xf>
    <xf numFmtId="0" fontId="34" fillId="0" borderId="25" xfId="0" applyFont="1" applyBorder="1" applyAlignment="1">
      <alignment horizontal="center" wrapText="1"/>
    </xf>
    <xf numFmtId="166" fontId="37" fillId="0" borderId="21" xfId="0" applyNumberFormat="1" applyFont="1" applyBorder="1" applyAlignment="1">
      <alignment horizontal="right" vertical="center" wrapText="1"/>
    </xf>
    <xf numFmtId="164" fontId="40" fillId="0" borderId="21" xfId="0" applyNumberFormat="1" applyFont="1" applyBorder="1" applyAlignment="1">
      <alignment horizontal="right" vertical="center" wrapText="1"/>
    </xf>
    <xf numFmtId="164" fontId="38" fillId="0" borderId="21" xfId="0" applyNumberFormat="1" applyFont="1" applyBorder="1" applyAlignment="1">
      <alignment horizontal="right" vertical="center" wrapText="1"/>
    </xf>
    <xf numFmtId="185" fontId="33" fillId="2" borderId="0" xfId="0" applyNumberFormat="1" applyFont="1" applyFill="1" applyAlignment="1">
      <alignment vertical="center" wrapText="1"/>
    </xf>
    <xf numFmtId="185" fontId="33" fillId="0" borderId="0" xfId="0" applyNumberFormat="1" applyFont="1" applyAlignment="1">
      <alignment vertical="center" wrapText="1"/>
    </xf>
    <xf numFmtId="185" fontId="33" fillId="2" borderId="34" xfId="0" applyNumberFormat="1" applyFont="1" applyFill="1" applyBorder="1" applyAlignment="1">
      <alignment vertical="center" wrapText="1"/>
    </xf>
    <xf numFmtId="185" fontId="33" fillId="0" borderId="34" xfId="0" applyNumberFormat="1" applyFont="1" applyBorder="1" applyAlignment="1">
      <alignment vertical="center" wrapText="1"/>
    </xf>
    <xf numFmtId="165" fontId="38" fillId="2" borderId="0" xfId="0" applyNumberFormat="1" applyFont="1" applyFill="1" applyAlignment="1">
      <alignment horizontal="right" vertical="center" wrapText="1"/>
    </xf>
    <xf numFmtId="186" fontId="33" fillId="0" borderId="0" xfId="0" applyNumberFormat="1" applyFont="1" applyAlignment="1">
      <alignment vertical="center" wrapText="1"/>
    </xf>
    <xf numFmtId="165" fontId="33" fillId="0" borderId="28" xfId="0" applyNumberFormat="1" applyFont="1" applyBorder="1" applyAlignment="1">
      <alignment horizontal="right" vertical="center" wrapText="1"/>
    </xf>
    <xf numFmtId="0" fontId="39" fillId="0" borderId="25" xfId="0" applyFont="1" applyBorder="1" applyAlignment="1">
      <alignment horizontal="center" vertical="center" wrapText="1"/>
    </xf>
    <xf numFmtId="0" fontId="33" fillId="0" borderId="0" xfId="0" applyFont="1" applyAlignment="1">
      <alignment horizontal="justify" vertical="center" wrapText="1"/>
    </xf>
    <xf numFmtId="0" fontId="33" fillId="0" borderId="34" xfId="0" applyFont="1" applyBorder="1" applyAlignment="1">
      <alignment horizontal="justify" vertical="center" wrapText="1"/>
    </xf>
    <xf numFmtId="0" fontId="38" fillId="0" borderId="34" xfId="0" applyFont="1" applyBorder="1" applyAlignment="1">
      <alignment horizontal="justify" vertical="center" wrapText="1"/>
    </xf>
    <xf numFmtId="0" fontId="14" fillId="10" borderId="0" xfId="0" applyFont="1" applyFill="1" applyAlignment="1">
      <alignment horizontal="right" wrapText="1"/>
    </xf>
    <xf numFmtId="164" fontId="33" fillId="0" borderId="0" xfId="0" applyNumberFormat="1" applyFont="1" applyAlignment="1">
      <alignment horizontal="right" wrapText="1"/>
    </xf>
    <xf numFmtId="0" fontId="33" fillId="0" borderId="0" xfId="0" applyFont="1" applyAlignment="1">
      <alignment horizontal="right" wrapText="1"/>
    </xf>
    <xf numFmtId="170" fontId="33" fillId="0" borderId="0" xfId="0" applyNumberFormat="1" applyFont="1" applyAlignment="1">
      <alignment horizontal="right" wrapText="1"/>
    </xf>
    <xf numFmtId="0" fontId="33" fillId="2" borderId="34" xfId="0" applyFont="1" applyFill="1" applyBorder="1" applyAlignment="1">
      <alignment horizontal="justify" vertical="center" wrapText="1"/>
    </xf>
    <xf numFmtId="164" fontId="33" fillId="2" borderId="34" xfId="0" applyNumberFormat="1" applyFont="1" applyFill="1" applyBorder="1" applyAlignment="1">
      <alignment horizontal="right" vertical="center" wrapText="1"/>
    </xf>
    <xf numFmtId="0" fontId="38" fillId="2" borderId="21" xfId="0" applyFont="1" applyFill="1" applyBorder="1" applyAlignment="1">
      <alignment horizontal="justify" vertical="center" wrapText="1"/>
    </xf>
    <xf numFmtId="184" fontId="38" fillId="0" borderId="0" xfId="0" applyNumberFormat="1" applyFont="1" applyAlignment="1">
      <alignment vertical="center" wrapText="1"/>
    </xf>
    <xf numFmtId="184" fontId="38" fillId="0" borderId="28" xfId="0" applyNumberFormat="1" applyFont="1" applyBorder="1" applyAlignment="1">
      <alignment vertical="center" wrapText="1"/>
    </xf>
    <xf numFmtId="184" fontId="33" fillId="0" borderId="28" xfId="0" applyNumberFormat="1" applyFont="1" applyBorder="1" applyAlignment="1">
      <alignment vertical="center" wrapText="1"/>
    </xf>
    <xf numFmtId="0" fontId="38" fillId="0" borderId="25" xfId="0" applyFont="1" applyBorder="1" applyAlignment="1">
      <alignment horizontal="right" vertical="center" wrapText="1"/>
    </xf>
    <xf numFmtId="0" fontId="39" fillId="0" borderId="25" xfId="0" applyFont="1" applyBorder="1" applyAlignment="1">
      <alignment horizontal="right" vertical="center" wrapText="1"/>
    </xf>
    <xf numFmtId="0" fontId="34" fillId="0" borderId="25" xfId="0" applyFont="1" applyBorder="1" applyAlignment="1">
      <alignment horizontal="right" wrapText="1"/>
    </xf>
    <xf numFmtId="0" fontId="14" fillId="0" borderId="0" xfId="0" applyFont="1" applyAlignment="1">
      <alignment horizontal="right" vertical="center" wrapText="1"/>
    </xf>
    <xf numFmtId="164" fontId="33" fillId="0" borderId="28" xfId="0" applyNumberFormat="1" applyFont="1" applyBorder="1" applyAlignment="1">
      <alignment horizontal="right" vertical="center" wrapText="1"/>
    </xf>
    <xf numFmtId="164" fontId="14" fillId="10" borderId="41" xfId="0" applyNumberFormat="1" applyFont="1" applyFill="1" applyBorder="1" applyAlignment="1">
      <alignment horizontal="right" vertical="center" wrapText="1"/>
    </xf>
    <xf numFmtId="0" fontId="33" fillId="0" borderId="42" xfId="0" applyFont="1" applyBorder="1" applyAlignment="1">
      <alignment horizontal="left" vertical="center" wrapText="1"/>
    </xf>
    <xf numFmtId="0" fontId="33" fillId="0" borderId="42" xfId="0" applyFont="1" applyBorder="1" applyAlignment="1">
      <alignment horizontal="right" vertical="center" wrapText="1"/>
    </xf>
    <xf numFmtId="174" fontId="33" fillId="0" borderId="42" xfId="0" applyNumberFormat="1" applyFont="1" applyBorder="1" applyAlignment="1">
      <alignment horizontal="right" vertical="center" wrapText="1"/>
    </xf>
    <xf numFmtId="0" fontId="38" fillId="0" borderId="28" xfId="0" applyFont="1" applyBorder="1" applyAlignment="1">
      <alignment horizontal="right" vertical="center" wrapText="1"/>
    </xf>
    <xf numFmtId="174" fontId="38" fillId="0" borderId="28" xfId="0" applyNumberFormat="1" applyFont="1" applyBorder="1" applyAlignment="1">
      <alignment horizontal="right" vertical="center" wrapText="1"/>
    </xf>
    <xf numFmtId="0" fontId="38" fillId="0" borderId="0" xfId="0" applyFont="1" applyAlignment="1">
      <alignment horizontal="right" vertical="center" wrapText="1"/>
    </xf>
    <xf numFmtId="167" fontId="33" fillId="0" borderId="28" xfId="0" applyNumberFormat="1" applyFont="1" applyBorder="1" applyAlignment="1">
      <alignment vertical="center" wrapText="1"/>
    </xf>
    <xf numFmtId="0" fontId="14" fillId="10" borderId="41" xfId="0" applyFont="1" applyFill="1" applyBorder="1" applyAlignment="1">
      <alignment horizontal="right" vertical="center" wrapText="1"/>
    </xf>
    <xf numFmtId="164" fontId="33" fillId="0" borderId="42" xfId="0" applyNumberFormat="1" applyFont="1" applyBorder="1" applyAlignment="1">
      <alignment horizontal="right" vertical="center" wrapText="1"/>
    </xf>
    <xf numFmtId="0" fontId="59" fillId="0" borderId="25" xfId="0" applyFont="1" applyBorder="1" applyAlignment="1">
      <alignment horizontal="left" vertical="top" wrapText="1"/>
    </xf>
    <xf numFmtId="0" fontId="1" fillId="0" borderId="43" xfId="0" applyFont="1" applyBorder="1" applyAlignment="1">
      <alignment horizontal="left" wrapText="1"/>
    </xf>
    <xf numFmtId="0" fontId="33" fillId="0" borderId="25" xfId="0" applyFont="1" applyBorder="1" applyAlignment="1">
      <alignment horizontal="left" wrapText="1"/>
    </xf>
    <xf numFmtId="0" fontId="33" fillId="0" borderId="25" xfId="0" applyFont="1" applyBorder="1" applyAlignment="1">
      <alignment horizontal="center" wrapText="1"/>
    </xf>
    <xf numFmtId="0" fontId="79" fillId="0" borderId="0" xfId="36" applyFont="1" applyAlignment="1">
      <alignment horizontal="left" vertical="top" wrapText="1"/>
    </xf>
    <xf numFmtId="0" fontId="79" fillId="0" borderId="0" xfId="36" applyFont="1" applyAlignment="1">
      <alignment horizontal="left" vertical="center" wrapText="1"/>
    </xf>
    <xf numFmtId="0" fontId="79" fillId="0" borderId="45" xfId="36" applyFont="1" applyBorder="1" applyAlignment="1">
      <alignment horizontal="left" vertical="top" wrapText="1"/>
    </xf>
    <xf numFmtId="0" fontId="79" fillId="0" borderId="0" xfId="36" applyFont="1" applyBorder="1" applyAlignment="1">
      <alignment horizontal="left" vertical="top" wrapText="1"/>
    </xf>
    <xf numFmtId="0" fontId="79" fillId="2" borderId="0" xfId="36" applyFont="1" applyFill="1" applyBorder="1" applyAlignment="1">
      <alignment horizontal="left" vertical="top" wrapText="1"/>
    </xf>
    <xf numFmtId="0" fontId="79" fillId="2" borderId="45" xfId="36" applyFont="1" applyFill="1" applyBorder="1" applyAlignment="1">
      <alignment horizontal="left" vertical="top" wrapText="1"/>
    </xf>
    <xf numFmtId="0" fontId="79" fillId="0" borderId="0" xfId="36" applyFont="1" applyBorder="1" applyAlignment="1">
      <alignment horizontal="left" vertical="center" wrapText="1"/>
    </xf>
    <xf numFmtId="0" fontId="79" fillId="0" borderId="46" xfId="36" applyFont="1" applyBorder="1" applyAlignment="1">
      <alignment horizontal="left" vertical="top" wrapText="1"/>
    </xf>
    <xf numFmtId="0" fontId="1" fillId="0" borderId="45" xfId="0" applyFont="1" applyBorder="1" applyAlignment="1">
      <alignment horizontal="left" wrapText="1"/>
    </xf>
    <xf numFmtId="0" fontId="33" fillId="2" borderId="0" xfId="0" applyFont="1" applyFill="1" applyAlignment="1">
      <alignment horizontal="left" vertical="top" wrapText="1"/>
    </xf>
    <xf numFmtId="0" fontId="14" fillId="3" borderId="0" xfId="0" applyFont="1" applyFill="1" applyAlignment="1">
      <alignment wrapText="1"/>
    </xf>
    <xf numFmtId="0" fontId="14" fillId="3" borderId="0" xfId="0" applyFont="1" applyFill="1" applyAlignment="1">
      <alignment horizontal="center" wrapText="1"/>
    </xf>
    <xf numFmtId="0" fontId="14" fillId="0" borderId="0" xfId="0" applyFont="1" applyAlignment="1">
      <alignment wrapText="1"/>
    </xf>
    <xf numFmtId="0" fontId="14" fillId="4" borderId="0" xfId="0" applyFont="1" applyFill="1" applyAlignment="1">
      <alignment vertical="center" wrapText="1"/>
    </xf>
    <xf numFmtId="0" fontId="79" fillId="0" borderId="51" xfId="36" applyFont="1" applyBorder="1" applyAlignment="1">
      <alignment horizontal="left" vertical="top" wrapText="1"/>
    </xf>
    <xf numFmtId="0" fontId="79" fillId="0" borderId="52" xfId="36" applyFont="1" applyBorder="1" applyAlignment="1">
      <alignment horizontal="left" vertical="top" wrapText="1"/>
    </xf>
    <xf numFmtId="0" fontId="81" fillId="0" borderId="0" xfId="36" applyFont="1" applyAlignment="1">
      <alignment horizontal="left" vertical="top" wrapText="1"/>
    </xf>
    <xf numFmtId="0" fontId="81" fillId="0" borderId="50" xfId="36" applyFont="1" applyBorder="1" applyAlignment="1">
      <alignment horizontal="left" vertical="top" wrapText="1"/>
    </xf>
    <xf numFmtId="0" fontId="79" fillId="2" borderId="52" xfId="36" applyFont="1" applyFill="1" applyBorder="1" applyAlignment="1">
      <alignment horizontal="left" vertical="top" wrapText="1"/>
    </xf>
    <xf numFmtId="0" fontId="84" fillId="2" borderId="0" xfId="0" applyFont="1" applyFill="1" applyAlignment="1">
      <alignment horizontal="center" vertical="center" wrapText="1"/>
    </xf>
    <xf numFmtId="0" fontId="84" fillId="2" borderId="0" xfId="0" applyFont="1" applyFill="1" applyAlignment="1">
      <alignment horizontal="center" wrapText="1"/>
    </xf>
    <xf numFmtId="0" fontId="84" fillId="0" borderId="0" xfId="0" applyFont="1" applyAlignment="1">
      <alignment horizontal="left" wrapText="1"/>
    </xf>
    <xf numFmtId="0" fontId="84" fillId="2" borderId="0" xfId="0" applyFont="1" applyFill="1" applyAlignment="1">
      <alignment horizontal="left" wrapText="1"/>
    </xf>
    <xf numFmtId="0" fontId="84" fillId="0" borderId="0" xfId="4" applyFont="1">
      <alignment horizontal="left" wrapText="1"/>
    </xf>
    <xf numFmtId="0" fontId="82" fillId="0" borderId="0" xfId="0" applyFont="1"/>
    <xf numFmtId="0" fontId="84" fillId="0" borderId="0" xfId="0" applyFont="1" applyAlignment="1">
      <alignment horizontal="left" vertical="center" wrapText="1"/>
    </xf>
    <xf numFmtId="0" fontId="84" fillId="2" borderId="0" xfId="0" applyFont="1" applyFill="1" applyAlignment="1">
      <alignment horizontal="left" vertical="center" wrapText="1"/>
    </xf>
    <xf numFmtId="0" fontId="84" fillId="2" borderId="0" xfId="0" applyFont="1" applyFill="1" applyAlignment="1">
      <alignment horizontal="left" vertical="top" wrapText="1"/>
    </xf>
    <xf numFmtId="0" fontId="85" fillId="2" borderId="0" xfId="0" applyFont="1" applyFill="1" applyAlignment="1">
      <alignment horizontal="left" vertical="top" wrapText="1"/>
    </xf>
    <xf numFmtId="0" fontId="84" fillId="0" borderId="0" xfId="0" applyFont="1" applyAlignment="1">
      <alignment horizontal="center" wrapText="1"/>
    </xf>
    <xf numFmtId="0" fontId="14" fillId="0" borderId="0" xfId="15" applyBorder="1">
      <alignment wrapText="1"/>
    </xf>
    <xf numFmtId="0" fontId="84" fillId="4" borderId="0" xfId="0" applyFont="1" applyFill="1" applyAlignment="1">
      <alignment horizontal="left" vertical="center" wrapText="1"/>
    </xf>
    <xf numFmtId="0" fontId="84" fillId="4" borderId="0" xfId="0" applyFont="1" applyFill="1" applyAlignment="1">
      <alignment horizontal="center" vertical="center" wrapText="1"/>
    </xf>
    <xf numFmtId="0" fontId="84" fillId="0" borderId="0" xfId="4" applyFont="1" applyBorder="1">
      <alignment horizontal="left" wrapText="1"/>
    </xf>
    <xf numFmtId="0" fontId="84" fillId="5" borderId="0" xfId="0" applyFont="1" applyFill="1" applyAlignment="1">
      <alignment horizontal="left" vertical="top" wrapText="1"/>
    </xf>
    <xf numFmtId="0" fontId="84" fillId="0" borderId="0" xfId="0" applyFont="1" applyAlignment="1">
      <alignment horizontal="left" vertical="top" wrapText="1"/>
    </xf>
    <xf numFmtId="0" fontId="86" fillId="0" borderId="0" xfId="36" applyFont="1" applyBorder="1" applyAlignment="1">
      <alignment horizontal="left" vertical="top" wrapText="1"/>
    </xf>
    <xf numFmtId="0" fontId="87" fillId="18" borderId="0" xfId="0" applyFont="1" applyFill="1" applyAlignment="1">
      <alignment horizontal="left" vertical="top" wrapText="1"/>
    </xf>
    <xf numFmtId="0" fontId="84" fillId="5" borderId="0" xfId="0" applyFont="1" applyFill="1" applyAlignment="1">
      <alignment horizontal="center" vertical="top" wrapText="1"/>
    </xf>
    <xf numFmtId="0" fontId="88" fillId="0" borderId="0" xfId="0" applyFont="1" applyAlignment="1">
      <alignment horizontal="left" vertical="top" wrapText="1"/>
    </xf>
    <xf numFmtId="0" fontId="84" fillId="18" borderId="0" xfId="0" applyFont="1" applyFill="1" applyAlignment="1">
      <alignment horizontal="center" vertical="top" wrapText="1"/>
    </xf>
    <xf numFmtId="0" fontId="84" fillId="0" borderId="45" xfId="0" applyFont="1" applyBorder="1" applyAlignment="1">
      <alignment horizontal="left" vertical="top" wrapText="1"/>
    </xf>
    <xf numFmtId="0" fontId="87" fillId="18" borderId="45" xfId="0" applyFont="1" applyFill="1" applyBorder="1" applyAlignment="1">
      <alignment horizontal="left" vertical="top" wrapText="1"/>
    </xf>
    <xf numFmtId="0" fontId="84" fillId="5" borderId="45" xfId="0" applyFont="1" applyFill="1" applyBorder="1" applyAlignment="1">
      <alignment horizontal="center" vertical="top" wrapText="1"/>
    </xf>
    <xf numFmtId="0" fontId="84" fillId="0" borderId="47" xfId="0" applyFont="1" applyBorder="1" applyAlignment="1">
      <alignment horizontal="left" vertical="top" wrapText="1"/>
    </xf>
    <xf numFmtId="0" fontId="86" fillId="0" borderId="0" xfId="36" applyFont="1" applyAlignment="1">
      <alignment horizontal="left" vertical="top" wrapText="1"/>
    </xf>
    <xf numFmtId="0" fontId="87" fillId="18" borderId="47" xfId="0" applyFont="1" applyFill="1" applyBorder="1" applyAlignment="1">
      <alignment horizontal="left" vertical="top" wrapText="1"/>
    </xf>
    <xf numFmtId="0" fontId="84" fillId="5" borderId="47" xfId="0" applyFont="1" applyFill="1" applyBorder="1" applyAlignment="1">
      <alignment horizontal="center" vertical="top" wrapText="1"/>
    </xf>
    <xf numFmtId="164" fontId="84" fillId="5" borderId="47" xfId="0" applyNumberFormat="1" applyFont="1" applyFill="1" applyBorder="1" applyAlignment="1">
      <alignment horizontal="center" vertical="top" wrapText="1"/>
    </xf>
    <xf numFmtId="164" fontId="84" fillId="5" borderId="0" xfId="0" applyNumberFormat="1" applyFont="1" applyFill="1" applyAlignment="1">
      <alignment horizontal="center" vertical="top" wrapText="1"/>
    </xf>
    <xf numFmtId="0" fontId="84" fillId="0" borderId="2" xfId="0" applyFont="1" applyBorder="1" applyAlignment="1">
      <alignment horizontal="left" vertical="top" wrapText="1"/>
    </xf>
    <xf numFmtId="0" fontId="87" fillId="18" borderId="44" xfId="0" applyFont="1" applyFill="1" applyBorder="1" applyAlignment="1">
      <alignment horizontal="left" vertical="top" wrapText="1"/>
    </xf>
    <xf numFmtId="0" fontId="84" fillId="5" borderId="1" xfId="0" applyFont="1" applyFill="1" applyBorder="1" applyAlignment="1">
      <alignment horizontal="center" vertical="top" wrapText="1"/>
    </xf>
    <xf numFmtId="0" fontId="84" fillId="0" borderId="3" xfId="0" applyFont="1" applyBorder="1" applyAlignment="1">
      <alignment horizontal="left" vertical="top" wrapText="1"/>
    </xf>
    <xf numFmtId="0" fontId="84" fillId="5" borderId="3" xfId="0" applyFont="1" applyFill="1" applyBorder="1" applyAlignment="1">
      <alignment horizontal="center" vertical="top" wrapText="1"/>
    </xf>
    <xf numFmtId="164" fontId="84" fillId="5" borderId="3" xfId="0" applyNumberFormat="1" applyFont="1" applyFill="1" applyBorder="1" applyAlignment="1">
      <alignment horizontal="center" vertical="top" wrapText="1"/>
    </xf>
    <xf numFmtId="0" fontId="84" fillId="5" borderId="0" xfId="0" applyFont="1" applyFill="1" applyAlignment="1">
      <alignment horizontal="center" vertical="center" wrapText="1"/>
    </xf>
    <xf numFmtId="0" fontId="84" fillId="5" borderId="45" xfId="0" applyFont="1" applyFill="1" applyBorder="1" applyAlignment="1">
      <alignment horizontal="center" vertical="center" wrapText="1"/>
    </xf>
    <xf numFmtId="0" fontId="90" fillId="18" borderId="0" xfId="0" applyFont="1" applyFill="1" applyAlignment="1">
      <alignment horizontal="left" vertical="top" wrapText="1"/>
    </xf>
    <xf numFmtId="0" fontId="90" fillId="18" borderId="45" xfId="0" applyFont="1" applyFill="1" applyBorder="1" applyAlignment="1">
      <alignment horizontal="left" vertical="top" wrapText="1"/>
    </xf>
    <xf numFmtId="0" fontId="90" fillId="18" borderId="47" xfId="0" applyFont="1" applyFill="1" applyBorder="1" applyAlignment="1">
      <alignment horizontal="left" vertical="top" wrapText="1"/>
    </xf>
    <xf numFmtId="0" fontId="85" fillId="0" borderId="0" xfId="0" applyFont="1" applyAlignment="1">
      <alignment horizontal="left" vertical="top" wrapText="1"/>
    </xf>
    <xf numFmtId="0" fontId="86" fillId="0" borderId="48" xfId="36" applyFont="1" applyBorder="1" applyAlignment="1">
      <alignment horizontal="left" vertical="top" wrapText="1"/>
    </xf>
    <xf numFmtId="0" fontId="84" fillId="5" borderId="2" xfId="0" applyFont="1" applyFill="1" applyBorder="1" applyAlignment="1">
      <alignment horizontal="center" vertical="top" wrapText="1"/>
    </xf>
    <xf numFmtId="164" fontId="84" fillId="5" borderId="4" xfId="0" applyNumberFormat="1" applyFont="1" applyFill="1" applyBorder="1" applyAlignment="1">
      <alignment horizontal="center" vertical="top" wrapText="1"/>
    </xf>
    <xf numFmtId="0" fontId="84" fillId="5" borderId="4" xfId="0" applyFont="1" applyFill="1" applyBorder="1" applyAlignment="1">
      <alignment horizontal="center" vertical="top" wrapText="1"/>
    </xf>
    <xf numFmtId="164" fontId="84" fillId="2" borderId="0" xfId="0" applyNumberFormat="1" applyFont="1" applyFill="1" applyAlignment="1">
      <alignment horizontal="left" wrapText="1"/>
    </xf>
    <xf numFmtId="0" fontId="84" fillId="2" borderId="45" xfId="0" applyFont="1" applyFill="1" applyBorder="1" applyAlignment="1">
      <alignment horizontal="left" vertical="top" wrapText="1"/>
    </xf>
    <xf numFmtId="0" fontId="89" fillId="0" borderId="0" xfId="0" applyFont="1" applyAlignment="1">
      <alignment horizontal="left" vertical="top" wrapText="1"/>
    </xf>
    <xf numFmtId="0" fontId="86" fillId="0" borderId="49" xfId="36" applyFont="1" applyBorder="1" applyAlignment="1">
      <alignment horizontal="left" vertical="top" wrapText="1"/>
    </xf>
    <xf numFmtId="0" fontId="90" fillId="18" borderId="49" xfId="0" applyFont="1" applyFill="1" applyBorder="1" applyAlignment="1">
      <alignment horizontal="left" vertical="top" wrapText="1"/>
    </xf>
    <xf numFmtId="0" fontId="84" fillId="5" borderId="49" xfId="0" applyFont="1" applyFill="1" applyBorder="1" applyAlignment="1">
      <alignment horizontal="center" vertical="top" wrapText="1"/>
    </xf>
    <xf numFmtId="0" fontId="84" fillId="18" borderId="0" xfId="0" applyFont="1" applyFill="1" applyAlignment="1">
      <alignment horizontal="left" vertical="top" wrapText="1"/>
    </xf>
    <xf numFmtId="0" fontId="91" fillId="18" borderId="0" xfId="0" applyFont="1" applyFill="1" applyAlignment="1">
      <alignment horizontal="left" vertical="top" wrapText="1"/>
    </xf>
    <xf numFmtId="0" fontId="84" fillId="6" borderId="0" xfId="0" applyFont="1" applyFill="1" applyAlignment="1">
      <alignment horizontal="center" vertical="top" wrapText="1"/>
    </xf>
    <xf numFmtId="0" fontId="84" fillId="6" borderId="0" xfId="0" applyFont="1" applyFill="1" applyAlignment="1">
      <alignment horizontal="center" vertical="center" wrapText="1"/>
    </xf>
    <xf numFmtId="0" fontId="84" fillId="18" borderId="45" xfId="0" applyFont="1" applyFill="1" applyBorder="1" applyAlignment="1">
      <alignment horizontal="left" vertical="top" wrapText="1"/>
    </xf>
    <xf numFmtId="0" fontId="84" fillId="5" borderId="45" xfId="0" applyFont="1" applyFill="1" applyBorder="1" applyAlignment="1">
      <alignment horizontal="left" vertical="top" wrapText="1"/>
    </xf>
    <xf numFmtId="0" fontId="84" fillId="18" borderId="47" xfId="0" applyFont="1" applyFill="1" applyBorder="1" applyAlignment="1">
      <alignment horizontal="left" vertical="top" wrapText="1"/>
    </xf>
    <xf numFmtId="0" fontId="84" fillId="5" borderId="0" xfId="0" applyFont="1" applyFill="1" applyAlignment="1">
      <alignment horizontal="left" vertical="center" wrapText="1"/>
    </xf>
    <xf numFmtId="0" fontId="84" fillId="5" borderId="1" xfId="0" applyFont="1" applyFill="1" applyBorder="1" applyAlignment="1">
      <alignment horizontal="left" vertical="top" wrapText="1"/>
    </xf>
    <xf numFmtId="0" fontId="84" fillId="18" borderId="0" xfId="0" applyFont="1" applyFill="1" applyAlignment="1">
      <alignment vertical="top" wrapText="1"/>
    </xf>
    <xf numFmtId="0" fontId="86" fillId="0" borderId="52" xfId="36" applyFont="1" applyBorder="1" applyAlignment="1">
      <alignment horizontal="left" vertical="top" wrapText="1"/>
    </xf>
    <xf numFmtId="0" fontId="84" fillId="18" borderId="45" xfId="0" applyFont="1" applyFill="1" applyBorder="1" applyAlignment="1">
      <alignment vertical="top" wrapText="1"/>
    </xf>
    <xf numFmtId="0" fontId="84" fillId="18" borderId="47" xfId="0" applyFont="1" applyFill="1" applyBorder="1" applyAlignment="1">
      <alignment vertical="top" wrapText="1"/>
    </xf>
    <xf numFmtId="0" fontId="84" fillId="0" borderId="46" xfId="0" applyFont="1" applyBorder="1" applyAlignment="1">
      <alignment horizontal="left" vertical="top" wrapText="1"/>
    </xf>
    <xf numFmtId="0" fontId="84" fillId="18" borderId="46" xfId="0" applyFont="1" applyFill="1" applyBorder="1" applyAlignment="1">
      <alignment horizontal="left" vertical="top" wrapText="1"/>
    </xf>
    <xf numFmtId="164" fontId="84" fillId="5" borderId="46" xfId="0" applyNumberFormat="1" applyFont="1" applyFill="1" applyBorder="1" applyAlignment="1">
      <alignment horizontal="center" vertical="top" wrapText="1"/>
    </xf>
    <xf numFmtId="0" fontId="84" fillId="5" borderId="46" xfId="0" applyFont="1" applyFill="1" applyBorder="1" applyAlignment="1">
      <alignment horizontal="center" vertical="top" wrapText="1"/>
    </xf>
    <xf numFmtId="0" fontId="85" fillId="0" borderId="0" xfId="0" applyFont="1" applyAlignment="1">
      <alignment horizontal="left" vertical="center" wrapText="1"/>
    </xf>
    <xf numFmtId="165" fontId="84" fillId="5" borderId="0" xfId="0" applyNumberFormat="1" applyFont="1" applyFill="1" applyAlignment="1">
      <alignment horizontal="center" vertical="top" wrapText="1"/>
    </xf>
    <xf numFmtId="0" fontId="91" fillId="0" borderId="0" xfId="0" applyFont="1" applyAlignment="1">
      <alignment horizontal="left" vertical="top" wrapText="1"/>
    </xf>
    <xf numFmtId="0" fontId="84" fillId="4" borderId="7" xfId="0" applyFont="1" applyFill="1" applyBorder="1" applyAlignment="1">
      <alignment horizontal="center" vertical="center" wrapText="1"/>
    </xf>
    <xf numFmtId="0" fontId="84" fillId="0" borderId="5" xfId="0" applyFont="1" applyBorder="1" applyAlignment="1">
      <alignment horizontal="left" wrapText="1"/>
    </xf>
    <xf numFmtId="0" fontId="84" fillId="4" borderId="11" xfId="0" applyFont="1" applyFill="1" applyBorder="1" applyAlignment="1">
      <alignment horizontal="center" vertical="center" wrapText="1"/>
    </xf>
    <xf numFmtId="0" fontId="84" fillId="8" borderId="11" xfId="0" applyFont="1" applyFill="1" applyBorder="1" applyAlignment="1">
      <alignment horizontal="left" wrapText="1"/>
    </xf>
    <xf numFmtId="0" fontId="84" fillId="8" borderId="11" xfId="0" applyFont="1" applyFill="1" applyBorder="1" applyAlignment="1">
      <alignment horizontal="center" vertical="center" wrapText="1"/>
    </xf>
    <xf numFmtId="0" fontId="84" fillId="8" borderId="11" xfId="0" applyFont="1" applyFill="1" applyBorder="1" applyAlignment="1">
      <alignment horizontal="center" wrapText="1"/>
    </xf>
    <xf numFmtId="0" fontId="84" fillId="9" borderId="11" xfId="0" applyFont="1" applyFill="1" applyBorder="1" applyAlignment="1">
      <alignment horizontal="center" vertical="center" wrapText="1"/>
    </xf>
    <xf numFmtId="0" fontId="84" fillId="2" borderId="14" xfId="0" applyFont="1" applyFill="1" applyBorder="1" applyAlignment="1">
      <alignment horizontal="left" vertical="top" wrapText="1"/>
    </xf>
    <xf numFmtId="0" fontId="84" fillId="2" borderId="11" xfId="0" applyFont="1" applyFill="1" applyBorder="1" applyAlignment="1">
      <alignment horizontal="center" vertical="center" wrapText="1"/>
    </xf>
    <xf numFmtId="0" fontId="84" fillId="2" borderId="11" xfId="0" applyFont="1" applyFill="1" applyBorder="1" applyAlignment="1">
      <alignment horizontal="center" vertical="top" wrapText="1"/>
    </xf>
    <xf numFmtId="0" fontId="84" fillId="0" borderId="15" xfId="0" applyFont="1" applyBorder="1" applyAlignment="1">
      <alignment horizontal="left" wrapText="1"/>
    </xf>
    <xf numFmtId="0" fontId="84" fillId="0" borderId="15" xfId="0" applyFont="1" applyBorder="1" applyAlignment="1">
      <alignment horizontal="center" wrapText="1"/>
    </xf>
    <xf numFmtId="166" fontId="81" fillId="0" borderId="0" xfId="0" applyNumberFormat="1" applyFont="1" applyAlignment="1">
      <alignment horizontal="right" vertical="center" wrapText="1"/>
    </xf>
    <xf numFmtId="169" fontId="81" fillId="0" borderId="0" xfId="0" applyNumberFormat="1" applyFont="1" applyAlignment="1">
      <alignment horizontal="right" vertical="center" wrapText="1"/>
    </xf>
    <xf numFmtId="166" fontId="94" fillId="0" borderId="0" xfId="0" applyNumberFormat="1" applyFont="1" applyAlignment="1">
      <alignment horizontal="right" vertical="center" wrapText="1"/>
    </xf>
    <xf numFmtId="9" fontId="94" fillId="0" borderId="0" xfId="0" applyNumberFormat="1" applyFont="1" applyAlignment="1">
      <alignment horizontal="right" vertical="center" wrapText="1"/>
    </xf>
    <xf numFmtId="167" fontId="94" fillId="0" borderId="0" xfId="0" applyNumberFormat="1" applyFont="1" applyAlignment="1">
      <alignment vertical="center" wrapText="1"/>
    </xf>
    <xf numFmtId="166" fontId="81" fillId="0" borderId="28" xfId="0" applyNumberFormat="1" applyFont="1" applyBorder="1" applyAlignment="1">
      <alignment horizontal="right" vertical="center" wrapText="1"/>
    </xf>
    <xf numFmtId="9" fontId="81" fillId="0" borderId="28" xfId="37" applyFont="1" applyBorder="1" applyAlignment="1">
      <alignment horizontal="right" vertical="center" wrapText="1"/>
    </xf>
    <xf numFmtId="166" fontId="94" fillId="0" borderId="28" xfId="0" applyNumberFormat="1" applyFont="1" applyBorder="1" applyAlignment="1">
      <alignment horizontal="right" vertical="center" wrapText="1"/>
    </xf>
    <xf numFmtId="9" fontId="94" fillId="0" borderId="28" xfId="0" applyNumberFormat="1" applyFont="1" applyBorder="1" applyAlignment="1">
      <alignment horizontal="right" vertical="center" wrapText="1"/>
    </xf>
    <xf numFmtId="167" fontId="94" fillId="0" borderId="28" xfId="0" applyNumberFormat="1" applyFont="1" applyBorder="1" applyAlignment="1">
      <alignment vertical="center" wrapText="1"/>
    </xf>
    <xf numFmtId="187" fontId="33" fillId="0" borderId="9" xfId="0" applyNumberFormat="1" applyFont="1" applyBorder="1" applyAlignment="1">
      <alignment horizontal="right" vertical="center" wrapText="1"/>
    </xf>
    <xf numFmtId="9" fontId="33" fillId="0" borderId="9" xfId="0" applyNumberFormat="1" applyFont="1" applyBorder="1" applyAlignment="1">
      <alignment horizontal="right" vertical="center" wrapText="1"/>
    </xf>
    <xf numFmtId="166" fontId="94" fillId="2" borderId="0" xfId="0" applyNumberFormat="1" applyFont="1" applyFill="1" applyAlignment="1">
      <alignment horizontal="right" vertical="center" wrapText="1"/>
    </xf>
    <xf numFmtId="0" fontId="94" fillId="2" borderId="0" xfId="0" applyFont="1" applyFill="1" applyAlignment="1">
      <alignment horizontal="right" vertical="center" wrapText="1"/>
    </xf>
    <xf numFmtId="0" fontId="94" fillId="0" borderId="0" xfId="0" applyFont="1" applyAlignment="1">
      <alignment horizontal="right" vertical="center" wrapText="1"/>
    </xf>
    <xf numFmtId="0" fontId="95" fillId="0" borderId="0" xfId="0" applyFont="1" applyAlignment="1">
      <alignment horizontal="right" vertical="center" wrapText="1"/>
    </xf>
    <xf numFmtId="166" fontId="94" fillId="0" borderId="22" xfId="0" applyNumberFormat="1" applyFont="1" applyBorder="1" applyAlignment="1">
      <alignment horizontal="right" vertical="center" wrapText="1"/>
    </xf>
    <xf numFmtId="0" fontId="81" fillId="0" borderId="20" xfId="0" applyFont="1" applyBorder="1" applyAlignment="1">
      <alignment horizontal="right" vertical="center" wrapText="1"/>
    </xf>
    <xf numFmtId="166" fontId="81" fillId="0" borderId="20" xfId="0" applyNumberFormat="1" applyFont="1" applyBorder="1" applyAlignment="1">
      <alignment horizontal="right" vertical="center" wrapText="1"/>
    </xf>
    <xf numFmtId="166" fontId="37" fillId="0" borderId="0" xfId="0" applyNumberFormat="1" applyFont="1" applyAlignment="1">
      <alignment horizontal="right" vertical="center" wrapText="1"/>
    </xf>
    <xf numFmtId="166" fontId="37" fillId="0" borderId="22" xfId="0" applyNumberFormat="1" applyFont="1" applyBorder="1" applyAlignment="1">
      <alignment horizontal="right" vertical="center" wrapText="1"/>
    </xf>
    <xf numFmtId="164" fontId="94" fillId="0" borderId="0" xfId="0" applyNumberFormat="1" applyFont="1" applyAlignment="1">
      <alignment horizontal="right" vertical="center" wrapText="1"/>
    </xf>
    <xf numFmtId="0" fontId="93" fillId="0" borderId="0" xfId="0" applyFont="1"/>
    <xf numFmtId="164" fontId="94" fillId="0" borderId="22" xfId="0" applyNumberFormat="1" applyFont="1" applyBorder="1" applyAlignment="1">
      <alignment horizontal="right" vertical="center" wrapText="1"/>
    </xf>
    <xf numFmtId="0" fontId="94" fillId="0" borderId="22" xfId="0" applyFont="1" applyBorder="1" applyAlignment="1">
      <alignment horizontal="right" vertical="center" wrapText="1"/>
    </xf>
    <xf numFmtId="166" fontId="94" fillId="0" borderId="20" xfId="0" applyNumberFormat="1" applyFont="1" applyBorder="1" applyAlignment="1">
      <alignment horizontal="right" vertical="center" wrapText="1"/>
    </xf>
    <xf numFmtId="187" fontId="33" fillId="0" borderId="22" xfId="0" applyNumberFormat="1" applyFont="1" applyBorder="1" applyAlignment="1">
      <alignment horizontal="right" vertical="center" wrapText="1"/>
    </xf>
    <xf numFmtId="9" fontId="33" fillId="0" borderId="22" xfId="0" applyNumberFormat="1" applyFont="1" applyBorder="1" applyAlignment="1">
      <alignment horizontal="right" vertical="center" wrapText="1"/>
    </xf>
    <xf numFmtId="9" fontId="38" fillId="0" borderId="9" xfId="0" applyNumberFormat="1" applyFont="1" applyBorder="1" applyAlignment="1">
      <alignment horizontal="right" vertical="center" wrapText="1"/>
    </xf>
    <xf numFmtId="9" fontId="33" fillId="0" borderId="0" xfId="0" applyNumberFormat="1" applyFont="1" applyAlignment="1">
      <alignment horizontal="right" vertical="center" wrapText="1"/>
    </xf>
    <xf numFmtId="9" fontId="33" fillId="2" borderId="0" xfId="0" applyNumberFormat="1" applyFont="1" applyFill="1" applyAlignment="1">
      <alignment horizontal="right" vertical="center" wrapText="1"/>
    </xf>
    <xf numFmtId="9" fontId="33" fillId="0" borderId="34" xfId="0" applyNumberFormat="1" applyFont="1" applyBorder="1" applyAlignment="1">
      <alignment horizontal="right" vertical="center" wrapText="1"/>
    </xf>
    <xf numFmtId="9" fontId="33" fillId="2" borderId="34" xfId="0" applyNumberFormat="1" applyFont="1" applyFill="1" applyBorder="1" applyAlignment="1">
      <alignment horizontal="right" vertical="center" wrapText="1"/>
    </xf>
    <xf numFmtId="9" fontId="38" fillId="0" borderId="34" xfId="0" applyNumberFormat="1" applyFont="1" applyBorder="1" applyAlignment="1">
      <alignment horizontal="right" vertical="center" wrapText="1"/>
    </xf>
    <xf numFmtId="9" fontId="38" fillId="0" borderId="20" xfId="0" applyNumberFormat="1" applyFont="1" applyBorder="1" applyAlignment="1">
      <alignment horizontal="right" vertical="center" wrapText="1"/>
    </xf>
    <xf numFmtId="9" fontId="33" fillId="0" borderId="20" xfId="0" applyNumberFormat="1" applyFont="1" applyBorder="1" applyAlignment="1">
      <alignment horizontal="right" vertical="center" wrapText="1"/>
    </xf>
    <xf numFmtId="9" fontId="38" fillId="0" borderId="36" xfId="0" applyNumberFormat="1" applyFont="1" applyBorder="1" applyAlignment="1">
      <alignment horizontal="right" vertical="center" wrapText="1"/>
    </xf>
    <xf numFmtId="0" fontId="44" fillId="0" borderId="20" xfId="0" applyFont="1" applyBorder="1" applyAlignment="1">
      <alignment horizontal="right" vertical="center" wrapText="1"/>
    </xf>
    <xf numFmtId="10" fontId="33" fillId="0" borderId="21" xfId="0" applyNumberFormat="1" applyFont="1" applyBorder="1" applyAlignment="1">
      <alignment horizontal="right" vertical="center" wrapText="1"/>
    </xf>
    <xf numFmtId="9" fontId="33" fillId="0" borderId="21" xfId="0" applyNumberFormat="1" applyFont="1" applyBorder="1" applyAlignment="1">
      <alignment horizontal="right" vertical="center" wrapText="1"/>
    </xf>
    <xf numFmtId="9" fontId="33" fillId="0" borderId="23" xfId="0" applyNumberFormat="1" applyFont="1" applyBorder="1" applyAlignment="1">
      <alignment horizontal="right" vertical="center" wrapText="1"/>
    </xf>
    <xf numFmtId="9" fontId="33" fillId="0" borderId="28" xfId="0" applyNumberFormat="1" applyFont="1" applyBorder="1" applyAlignment="1">
      <alignment horizontal="right" vertical="center" wrapText="1"/>
    </xf>
    <xf numFmtId="9" fontId="38" fillId="0" borderId="32" xfId="0" applyNumberFormat="1" applyFont="1" applyBorder="1" applyAlignment="1">
      <alignment horizontal="right" vertical="center" wrapText="1"/>
    </xf>
    <xf numFmtId="9" fontId="38" fillId="0" borderId="22" xfId="0" applyNumberFormat="1" applyFont="1" applyBorder="1" applyAlignment="1">
      <alignment horizontal="right" vertical="center" wrapText="1"/>
    </xf>
    <xf numFmtId="10" fontId="33" fillId="0" borderId="25" xfId="0" applyNumberFormat="1" applyFont="1" applyBorder="1" applyAlignment="1">
      <alignment horizontal="right" vertical="center" wrapText="1"/>
    </xf>
    <xf numFmtId="9" fontId="38" fillId="0" borderId="23" xfId="0" applyNumberFormat="1" applyFont="1" applyBorder="1" applyAlignment="1">
      <alignment horizontal="right" vertical="center" wrapText="1"/>
    </xf>
    <xf numFmtId="9" fontId="38" fillId="0" borderId="0" xfId="0" applyNumberFormat="1" applyFont="1" applyAlignment="1">
      <alignment horizontal="right" vertical="center" wrapText="1"/>
    </xf>
    <xf numFmtId="9" fontId="38" fillId="0" borderId="28" xfId="0" applyNumberFormat="1" applyFont="1" applyBorder="1" applyAlignment="1">
      <alignment horizontal="right" vertical="center" wrapText="1"/>
    </xf>
    <xf numFmtId="0" fontId="44" fillId="0" borderId="0" xfId="0" applyFont="1" applyAlignment="1">
      <alignment horizontal="left" vertical="center" wrapText="1"/>
    </xf>
    <xf numFmtId="2" fontId="38" fillId="0" borderId="22" xfId="38" applyNumberFormat="1" applyFont="1" applyBorder="1" applyAlignment="1">
      <alignment horizontal="right" vertical="center" wrapText="1"/>
    </xf>
    <xf numFmtId="2" fontId="33" fillId="0" borderId="22" xfId="38" applyNumberFormat="1" applyFont="1" applyBorder="1" applyAlignment="1">
      <alignment horizontal="right" vertical="center" wrapText="1"/>
    </xf>
    <xf numFmtId="0" fontId="0" fillId="0" borderId="56" xfId="0" applyBorder="1" applyAlignment="1">
      <alignment vertical="top" wrapText="1"/>
    </xf>
    <xf numFmtId="0" fontId="0" fillId="0" borderId="58" xfId="0" applyBorder="1" applyAlignment="1">
      <alignment vertical="top" wrapText="1"/>
    </xf>
    <xf numFmtId="0" fontId="100" fillId="0" borderId="58" xfId="0" applyFont="1" applyBorder="1" applyAlignment="1">
      <alignment vertical="top" wrapText="1"/>
    </xf>
    <xf numFmtId="0" fontId="100" fillId="0" borderId="0" xfId="0" applyFont="1" applyAlignment="1">
      <alignment vertical="top"/>
    </xf>
    <xf numFmtId="0" fontId="0" fillId="0" borderId="0" xfId="0" applyAlignment="1">
      <alignment vertical="top"/>
    </xf>
    <xf numFmtId="0" fontId="0" fillId="0" borderId="57" xfId="0" applyBorder="1" applyAlignment="1">
      <alignment vertical="top"/>
    </xf>
    <xf numFmtId="0" fontId="0" fillId="0" borderId="55" xfId="0" applyBorder="1" applyAlignment="1">
      <alignment vertical="top"/>
    </xf>
    <xf numFmtId="0" fontId="101" fillId="0" borderId="55" xfId="0" applyFont="1" applyBorder="1" applyAlignment="1">
      <alignment vertical="top" wrapText="1"/>
    </xf>
    <xf numFmtId="0" fontId="100" fillId="0" borderId="56" xfId="0" applyFont="1" applyBorder="1" applyAlignment="1">
      <alignment vertical="top" wrapText="1"/>
    </xf>
    <xf numFmtId="0" fontId="100" fillId="0" borderId="58" xfId="0" applyFont="1" applyBorder="1" applyAlignment="1">
      <alignment horizontal="left" vertical="top" wrapText="1"/>
    </xf>
    <xf numFmtId="0" fontId="100" fillId="0" borderId="56" xfId="0" applyFont="1" applyBorder="1" applyAlignment="1">
      <alignment horizontal="left" vertical="top" wrapText="1"/>
    </xf>
    <xf numFmtId="0" fontId="101" fillId="0" borderId="57" xfId="0" applyFont="1" applyBorder="1" applyAlignment="1">
      <alignment vertical="top"/>
    </xf>
    <xf numFmtId="0" fontId="103" fillId="0" borderId="0" xfId="0" applyFont="1" applyAlignment="1">
      <alignment vertical="top"/>
    </xf>
    <xf numFmtId="0" fontId="100" fillId="10" borderId="53" xfId="0" applyFont="1" applyFill="1" applyBorder="1" applyAlignment="1">
      <alignment vertical="top" wrapText="1"/>
    </xf>
    <xf numFmtId="0" fontId="75" fillId="10" borderId="54" xfId="0" applyFont="1" applyFill="1" applyBorder="1" applyAlignment="1">
      <alignment horizontal="center" vertical="top" wrapText="1"/>
    </xf>
    <xf numFmtId="177" fontId="33" fillId="0" borderId="0" xfId="0" applyNumberFormat="1" applyFont="1" applyAlignment="1">
      <alignment horizontal="right" wrapText="1"/>
    </xf>
    <xf numFmtId="177" fontId="38" fillId="0" borderId="28" xfId="0" applyNumberFormat="1" applyFont="1" applyBorder="1" applyAlignment="1">
      <alignment horizontal="right" vertical="center" wrapText="1"/>
    </xf>
    <xf numFmtId="0" fontId="105" fillId="19" borderId="0" xfId="0" applyFont="1" applyFill="1"/>
    <xf numFmtId="0" fontId="105" fillId="0" borderId="0" xfId="0" applyFont="1"/>
    <xf numFmtId="4" fontId="106" fillId="0" borderId="0" xfId="0" applyNumberFormat="1" applyFont="1"/>
    <xf numFmtId="0" fontId="94" fillId="20" borderId="0" xfId="0" applyFont="1" applyFill="1" applyAlignment="1">
      <alignment horizontal="left" vertical="center" wrapText="1"/>
    </xf>
    <xf numFmtId="166" fontId="94" fillId="20" borderId="0" xfId="0" applyNumberFormat="1" applyFont="1" applyFill="1" applyAlignment="1">
      <alignment horizontal="right" vertical="center" wrapText="1"/>
    </xf>
    <xf numFmtId="178" fontId="94" fillId="20" borderId="0" xfId="0" applyNumberFormat="1" applyFont="1" applyFill="1" applyAlignment="1">
      <alignment vertical="center" wrapText="1"/>
    </xf>
    <xf numFmtId="0" fontId="94" fillId="0" borderId="0" xfId="0" applyFont="1" applyAlignment="1">
      <alignment horizontal="left" vertical="center" wrapText="1"/>
    </xf>
    <xf numFmtId="0" fontId="94" fillId="20" borderId="0" xfId="0" applyFont="1" applyFill="1" applyAlignment="1">
      <alignment horizontal="left" vertical="center" wrapText="1" indent="1"/>
    </xf>
    <xf numFmtId="0" fontId="94" fillId="0" borderId="0" xfId="0" applyFont="1" applyAlignment="1">
      <alignment horizontal="left" vertical="center" wrapText="1" indent="1"/>
    </xf>
    <xf numFmtId="0" fontId="94" fillId="20" borderId="22" xfId="0" applyFont="1" applyFill="1" applyBorder="1" applyAlignment="1">
      <alignment horizontal="left" vertical="center" wrapText="1"/>
    </xf>
    <xf numFmtId="164" fontId="94" fillId="20" borderId="22" xfId="0" applyNumberFormat="1" applyFont="1" applyFill="1" applyBorder="1" applyAlignment="1">
      <alignment horizontal="right" vertical="center" wrapText="1"/>
    </xf>
    <xf numFmtId="166" fontId="94" fillId="20" borderId="22" xfId="0" applyNumberFormat="1" applyFont="1" applyFill="1" applyBorder="1" applyAlignment="1">
      <alignment horizontal="right" vertical="center" wrapText="1"/>
    </xf>
    <xf numFmtId="0" fontId="81" fillId="2" borderId="20" xfId="0" applyFont="1" applyFill="1" applyBorder="1" applyAlignment="1">
      <alignment horizontal="left" vertical="center" wrapText="1"/>
    </xf>
    <xf numFmtId="166" fontId="81" fillId="19" borderId="20" xfId="0" applyNumberFormat="1" applyFont="1" applyFill="1" applyBorder="1" applyAlignment="1">
      <alignment horizontal="right" vertical="center" wrapText="1"/>
    </xf>
    <xf numFmtId="166" fontId="94" fillId="2" borderId="20" xfId="0" applyNumberFormat="1" applyFont="1" applyFill="1" applyBorder="1" applyAlignment="1">
      <alignment horizontal="right" vertical="center" wrapText="1"/>
    </xf>
    <xf numFmtId="0" fontId="81" fillId="2" borderId="23" xfId="0" applyFont="1" applyFill="1" applyBorder="1" applyAlignment="1">
      <alignment horizontal="left" vertical="center" wrapText="1"/>
    </xf>
    <xf numFmtId="166" fontId="81" fillId="2" borderId="23" xfId="0" applyNumberFormat="1" applyFont="1" applyFill="1" applyBorder="1" applyAlignment="1">
      <alignment horizontal="right" vertical="center" wrapText="1"/>
    </xf>
    <xf numFmtId="166" fontId="94" fillId="2" borderId="23" xfId="0" applyNumberFormat="1" applyFont="1" applyFill="1" applyBorder="1" applyAlignment="1">
      <alignment horizontal="right" vertical="center" wrapText="1"/>
    </xf>
    <xf numFmtId="3" fontId="94" fillId="0" borderId="0" xfId="0" applyNumberFormat="1" applyFont="1" applyAlignment="1">
      <alignment horizontal="right" vertical="center" wrapText="1"/>
    </xf>
    <xf numFmtId="3" fontId="94" fillId="20" borderId="0" xfId="0" applyNumberFormat="1" applyFont="1" applyFill="1" applyAlignment="1">
      <alignment horizontal="right" vertical="center" wrapText="1"/>
    </xf>
    <xf numFmtId="0" fontId="82" fillId="0" borderId="0" xfId="0" applyFont="1"/>
    <xf numFmtId="0" fontId="0" fillId="0" borderId="0" xfId="0"/>
    <xf numFmtId="0" fontId="33" fillId="2" borderId="0" xfId="0" applyFont="1" applyFill="1" applyAlignment="1">
      <alignment horizontal="left" vertical="top" wrapText="1"/>
    </xf>
    <xf numFmtId="0" fontId="33" fillId="0" borderId="0" xfId="0" applyFont="1" applyAlignment="1">
      <alignment horizontal="left" vertical="top" wrapText="1"/>
    </xf>
    <xf numFmtId="0" fontId="79" fillId="0" borderId="0" xfId="36" applyFont="1" applyAlignment="1">
      <alignment horizontal="left" vertical="top" wrapText="1"/>
    </xf>
    <xf numFmtId="0" fontId="80" fillId="0" borderId="0" xfId="0" applyFont="1"/>
    <xf numFmtId="0" fontId="14" fillId="3" borderId="0" xfId="0" applyFont="1" applyFill="1" applyAlignment="1">
      <alignment vertical="center" wrapText="1"/>
    </xf>
    <xf numFmtId="0" fontId="83" fillId="0" borderId="0" xfId="0" applyFont="1" applyAlignment="1">
      <alignment horizontal="left" vertical="center" wrapText="1"/>
    </xf>
    <xf numFmtId="0" fontId="79" fillId="0" borderId="0" xfId="36" applyFont="1" applyBorder="1" applyAlignment="1">
      <alignment horizontal="left" vertical="top" wrapText="1"/>
    </xf>
    <xf numFmtId="0" fontId="85" fillId="2" borderId="0" xfId="0" applyFont="1" applyFill="1" applyAlignment="1">
      <alignment horizontal="left" vertical="top" wrapText="1"/>
    </xf>
    <xf numFmtId="0" fontId="84" fillId="2" borderId="0" xfId="0" applyFont="1" applyFill="1" applyAlignment="1">
      <alignment horizontal="left" vertical="top" wrapText="1"/>
    </xf>
    <xf numFmtId="0" fontId="84" fillId="0" borderId="0" xfId="0" applyFont="1" applyAlignment="1">
      <alignment horizontal="left" vertical="center" wrapText="1"/>
    </xf>
    <xf numFmtId="0" fontId="84" fillId="2" borderId="0" xfId="0" applyFont="1" applyFill="1" applyAlignment="1">
      <alignment horizontal="left" vertical="center" wrapText="1"/>
    </xf>
    <xf numFmtId="0" fontId="84" fillId="5" borderId="0" xfId="0" applyFont="1" applyFill="1" applyAlignment="1">
      <alignment horizontal="left" vertical="top" wrapText="1"/>
    </xf>
    <xf numFmtId="0" fontId="84" fillId="0" borderId="0" xfId="0" applyFont="1" applyAlignment="1">
      <alignment horizontal="left" vertical="top" wrapText="1"/>
    </xf>
    <xf numFmtId="0" fontId="84" fillId="0" borderId="45" xfId="0" applyFont="1" applyBorder="1" applyAlignment="1">
      <alignment horizontal="left" vertical="top" wrapText="1"/>
    </xf>
    <xf numFmtId="0" fontId="84" fillId="0" borderId="47" xfId="0" applyFont="1" applyBorder="1" applyAlignment="1">
      <alignment horizontal="left" vertical="top" wrapText="1"/>
    </xf>
    <xf numFmtId="0" fontId="84" fillId="5" borderId="3"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45" xfId="0" applyFont="1" applyFill="1" applyBorder="1" applyAlignment="1">
      <alignment horizontal="center" vertical="center" wrapText="1"/>
    </xf>
    <xf numFmtId="0" fontId="84" fillId="0" borderId="1" xfId="0" applyFont="1" applyBorder="1" applyAlignment="1">
      <alignment horizontal="left" vertical="top" wrapText="1"/>
    </xf>
    <xf numFmtId="0" fontId="84" fillId="5" borderId="47" xfId="0" applyFont="1" applyFill="1" applyBorder="1" applyAlignment="1">
      <alignment horizontal="center" vertical="center" wrapText="1"/>
    </xf>
    <xf numFmtId="0" fontId="84" fillId="0" borderId="52" xfId="0" applyFont="1" applyBorder="1" applyAlignment="1">
      <alignment horizontal="left" vertical="top" wrapText="1"/>
    </xf>
    <xf numFmtId="0" fontId="84" fillId="2" borderId="2" xfId="0" applyFont="1" applyFill="1" applyBorder="1" applyAlignment="1">
      <alignment horizontal="left" vertical="top" wrapText="1"/>
    </xf>
    <xf numFmtId="0" fontId="84" fillId="0" borderId="4" xfId="0" applyFont="1" applyBorder="1" applyAlignment="1">
      <alignment horizontal="left" vertical="top" wrapText="1"/>
    </xf>
    <xf numFmtId="0" fontId="84" fillId="5" borderId="0" xfId="0" applyFont="1" applyFill="1" applyAlignment="1">
      <alignment horizontal="center" vertical="top" wrapText="1"/>
    </xf>
    <xf numFmtId="0" fontId="84" fillId="5" borderId="2" xfId="0" applyFont="1" applyFill="1" applyBorder="1" applyAlignment="1">
      <alignment horizontal="center" vertical="top" wrapText="1"/>
    </xf>
    <xf numFmtId="0" fontId="84" fillId="5" borderId="47" xfId="0" applyFont="1" applyFill="1" applyBorder="1" applyAlignment="1">
      <alignment horizontal="center" vertical="top" wrapText="1"/>
    </xf>
    <xf numFmtId="0" fontId="84" fillId="5" borderId="45" xfId="0" applyFont="1" applyFill="1" applyBorder="1" applyAlignment="1">
      <alignment horizontal="center" vertical="top" wrapText="1"/>
    </xf>
    <xf numFmtId="0" fontId="84" fillId="2" borderId="47" xfId="0" applyFont="1" applyFill="1" applyBorder="1" applyAlignment="1">
      <alignment horizontal="left" vertical="top" wrapText="1"/>
    </xf>
    <xf numFmtId="0" fontId="84" fillId="2" borderId="45" xfId="0" applyFont="1" applyFill="1" applyBorder="1" applyAlignment="1">
      <alignment horizontal="left" vertical="top" wrapText="1"/>
    </xf>
    <xf numFmtId="0" fontId="84" fillId="5" borderId="49" xfId="0" applyFont="1" applyFill="1" applyBorder="1" applyAlignment="1">
      <alignment horizontal="center" vertical="center" wrapText="1"/>
    </xf>
    <xf numFmtId="0" fontId="84" fillId="2" borderId="49" xfId="0" applyFont="1" applyFill="1" applyBorder="1" applyAlignment="1">
      <alignment horizontal="left" vertical="top" wrapText="1"/>
    </xf>
    <xf numFmtId="0" fontId="85" fillId="6" borderId="0" xfId="0" applyFont="1" applyFill="1" applyAlignment="1">
      <alignment horizontal="left" vertical="center" wrapText="1"/>
    </xf>
    <xf numFmtId="0" fontId="84" fillId="5" borderId="45" xfId="0" applyFont="1" applyFill="1" applyBorder="1" applyAlignment="1">
      <alignment horizontal="left" vertical="top" wrapText="1"/>
    </xf>
    <xf numFmtId="0" fontId="84" fillId="6" borderId="0" xfId="0" applyFont="1" applyFill="1" applyAlignment="1">
      <alignment horizontal="center" vertical="top" wrapText="1"/>
    </xf>
    <xf numFmtId="0" fontId="84" fillId="5" borderId="1" xfId="0" applyFont="1" applyFill="1" applyBorder="1" applyAlignment="1">
      <alignment horizontal="left" vertical="top" wrapText="1"/>
    </xf>
    <xf numFmtId="0" fontId="84" fillId="5" borderId="3" xfId="0" applyFont="1" applyFill="1" applyBorder="1" applyAlignment="1">
      <alignment horizontal="left" vertical="top" wrapText="1"/>
    </xf>
    <xf numFmtId="0" fontId="84" fillId="0" borderId="12" xfId="0" applyFont="1" applyBorder="1" applyAlignment="1">
      <alignment horizontal="left" vertical="top" wrapText="1"/>
    </xf>
    <xf numFmtId="0" fontId="84" fillId="0" borderId="13" xfId="0" applyFont="1" applyBorder="1" applyAlignment="1">
      <alignment horizontal="left" vertical="top" wrapText="1"/>
    </xf>
    <xf numFmtId="0" fontId="84" fillId="4" borderId="5" xfId="0" applyFont="1" applyFill="1" applyBorder="1" applyAlignment="1">
      <alignment horizontal="left" vertical="center" wrapText="1"/>
    </xf>
    <xf numFmtId="0" fontId="84" fillId="4" borderId="0" xfId="0" applyFont="1" applyFill="1" applyAlignment="1">
      <alignment horizontal="left" vertical="center" wrapText="1"/>
    </xf>
    <xf numFmtId="0" fontId="84" fillId="4" borderId="6" xfId="0" applyFont="1" applyFill="1" applyBorder="1" applyAlignment="1">
      <alignment horizontal="left" vertical="center" wrapText="1"/>
    </xf>
    <xf numFmtId="0" fontId="84" fillId="4" borderId="8" xfId="0" applyFont="1" applyFill="1" applyBorder="1" applyAlignment="1">
      <alignment horizontal="left" vertical="center" wrapText="1"/>
    </xf>
    <xf numFmtId="0" fontId="84" fillId="4" borderId="9" xfId="0" applyFont="1" applyFill="1" applyBorder="1" applyAlignment="1">
      <alignment horizontal="left" vertical="center" wrapText="1"/>
    </xf>
    <xf numFmtId="0" fontId="84" fillId="4" borderId="10" xfId="0" applyFont="1" applyFill="1" applyBorder="1" applyAlignment="1">
      <alignment horizontal="left" vertical="center" wrapText="1"/>
    </xf>
    <xf numFmtId="0" fontId="84" fillId="9" borderId="12" xfId="0" applyFont="1" applyFill="1" applyBorder="1" applyAlignment="1">
      <alignment horizontal="left" vertical="center" wrapText="1"/>
    </xf>
    <xf numFmtId="0" fontId="84" fillId="9" borderId="13" xfId="0" applyFont="1" applyFill="1" applyBorder="1" applyAlignment="1">
      <alignment horizontal="left" vertical="center" wrapText="1"/>
    </xf>
    <xf numFmtId="0" fontId="84" fillId="9" borderId="14" xfId="0" applyFont="1" applyFill="1" applyBorder="1" applyAlignment="1">
      <alignment horizontal="left" vertical="center" wrapText="1"/>
    </xf>
    <xf numFmtId="0" fontId="84" fillId="8" borderId="12" xfId="0" applyFont="1" applyFill="1" applyBorder="1" applyAlignment="1">
      <alignment horizontal="left" wrapText="1"/>
    </xf>
    <xf numFmtId="0" fontId="84" fillId="8" borderId="13" xfId="0" applyFont="1" applyFill="1" applyBorder="1" applyAlignment="1">
      <alignment horizontal="left" wrapText="1"/>
    </xf>
    <xf numFmtId="0" fontId="84" fillId="8" borderId="14" xfId="0" applyFont="1" applyFill="1" applyBorder="1" applyAlignment="1">
      <alignment horizontal="left" wrapText="1"/>
    </xf>
    <xf numFmtId="0" fontId="84" fillId="5" borderId="47" xfId="0" applyFont="1" applyFill="1" applyBorder="1" applyAlignment="1">
      <alignment horizontal="left" vertical="top" wrapText="1"/>
    </xf>
    <xf numFmtId="0" fontId="17" fillId="0" borderId="0" xfId="0" applyFont="1" applyAlignment="1">
      <alignment horizontal="left" wrapText="1"/>
    </xf>
    <xf numFmtId="0" fontId="39" fillId="0" borderId="21" xfId="0" applyFont="1" applyBorder="1" applyAlignment="1">
      <alignment horizontal="left" vertical="center" wrapText="1"/>
    </xf>
    <xf numFmtId="0" fontId="39" fillId="2" borderId="0" xfId="0" applyFont="1" applyFill="1" applyAlignment="1">
      <alignment horizontal="left" vertical="center" wrapText="1"/>
    </xf>
    <xf numFmtId="0" fontId="39" fillId="0" borderId="0" xfId="0" applyFont="1" applyAlignment="1">
      <alignment horizontal="left" vertical="center" wrapText="1"/>
    </xf>
    <xf numFmtId="0" fontId="33" fillId="0" borderId="0" xfId="0" applyFont="1" applyAlignment="1">
      <alignment horizontal="left" vertical="center" wrapText="1"/>
    </xf>
    <xf numFmtId="0" fontId="36" fillId="10" borderId="0" xfId="0" applyFont="1" applyFill="1" applyAlignment="1">
      <alignment horizontal="center" vertical="center" wrapText="1"/>
    </xf>
    <xf numFmtId="0" fontId="39" fillId="0" borderId="15" xfId="0" applyFont="1" applyBorder="1" applyAlignment="1">
      <alignment horizontal="left" vertical="center" wrapText="1"/>
    </xf>
    <xf numFmtId="0" fontId="39" fillId="0" borderId="21" xfId="0" applyFont="1" applyBorder="1" applyAlignment="1">
      <alignment horizontal="left" wrapText="1"/>
    </xf>
    <xf numFmtId="0" fontId="14" fillId="10" borderId="0" xfId="0" applyFont="1" applyFill="1" applyAlignment="1">
      <alignment horizontal="left" vertical="center" wrapText="1"/>
    </xf>
    <xf numFmtId="0" fontId="39" fillId="2" borderId="25" xfId="0" applyFont="1" applyFill="1" applyBorder="1" applyAlignment="1">
      <alignment horizontal="left" vertical="top" wrapText="1"/>
    </xf>
    <xf numFmtId="0" fontId="39" fillId="0" borderId="15" xfId="0" applyFont="1" applyBorder="1" applyAlignment="1">
      <alignment horizontal="left" vertical="top" wrapText="1"/>
    </xf>
    <xf numFmtId="0" fontId="14" fillId="10" borderId="9" xfId="0" applyFont="1" applyFill="1" applyBorder="1" applyAlignment="1">
      <alignment horizontal="left" vertical="center" wrapText="1"/>
    </xf>
    <xf numFmtId="0" fontId="14" fillId="10" borderId="9" xfId="0" applyFont="1" applyFill="1" applyBorder="1" applyAlignment="1">
      <alignment horizontal="left" vertical="top" wrapText="1"/>
    </xf>
    <xf numFmtId="0" fontId="14" fillId="10" borderId="13" xfId="0" applyFont="1" applyFill="1" applyBorder="1" applyAlignment="1">
      <alignment horizontal="left" vertical="top" wrapText="1"/>
    </xf>
    <xf numFmtId="0" fontId="14" fillId="10" borderId="0" xfId="0" applyFont="1" applyFill="1" applyAlignment="1">
      <alignment horizontal="center" vertical="center" wrapText="1"/>
    </xf>
    <xf numFmtId="0" fontId="38" fillId="0" borderId="0" xfId="0" applyFont="1" applyAlignment="1">
      <alignment horizontal="left" vertical="center" wrapText="1"/>
    </xf>
    <xf numFmtId="0" fontId="38" fillId="2" borderId="0" xfId="0" applyFont="1" applyFill="1" applyAlignment="1">
      <alignment horizontal="left" vertical="center" wrapText="1"/>
    </xf>
    <xf numFmtId="0" fontId="53" fillId="0" borderId="0" xfId="0" applyFont="1" applyAlignment="1">
      <alignment horizontal="left" vertical="center" wrapText="1"/>
    </xf>
    <xf numFmtId="0" fontId="52" fillId="0" borderId="15" xfId="0" applyFont="1" applyBorder="1" applyAlignment="1">
      <alignment horizontal="left" vertical="center" wrapText="1"/>
    </xf>
    <xf numFmtId="0" fontId="52" fillId="0" borderId="0" xfId="0" applyFont="1" applyAlignment="1">
      <alignment horizontal="left" vertical="center" wrapText="1"/>
    </xf>
    <xf numFmtId="0" fontId="33" fillId="0" borderId="21" xfId="0" applyFont="1" applyBorder="1" applyAlignment="1">
      <alignment horizontal="left" vertical="center" wrapText="1"/>
    </xf>
    <xf numFmtId="0" fontId="33" fillId="0" borderId="9" xfId="0" applyFont="1" applyBorder="1" applyAlignment="1">
      <alignment horizontal="left" vertical="center" wrapText="1"/>
    </xf>
    <xf numFmtId="0" fontId="33" fillId="0" borderId="22" xfId="0" applyFont="1" applyBorder="1" applyAlignment="1">
      <alignment horizontal="left" vertical="center" wrapText="1"/>
    </xf>
    <xf numFmtId="0" fontId="54" fillId="0" borderId="21" xfId="0" applyFont="1" applyBorder="1" applyAlignment="1">
      <alignment horizontal="left" vertical="center" wrapText="1"/>
    </xf>
    <xf numFmtId="0" fontId="56" fillId="0" borderId="21" xfId="0" applyFont="1" applyBorder="1" applyAlignment="1">
      <alignment horizontal="left" vertical="center" wrapText="1"/>
    </xf>
    <xf numFmtId="0" fontId="56" fillId="0" borderId="0" xfId="0" applyFont="1" applyAlignment="1">
      <alignment horizontal="left" vertical="center" wrapText="1"/>
    </xf>
    <xf numFmtId="0" fontId="39" fillId="0" borderId="40" xfId="0" applyFont="1" applyBorder="1" applyAlignment="1">
      <alignment horizontal="left" vertical="center" wrapText="1"/>
    </xf>
    <xf numFmtId="0" fontId="14" fillId="10" borderId="0" xfId="0" applyFont="1" applyFill="1" applyAlignment="1">
      <alignment horizontal="right" vertical="center" wrapText="1"/>
    </xf>
    <xf numFmtId="0" fontId="49" fillId="0" borderId="0" xfId="0" applyFont="1" applyAlignment="1">
      <alignment horizontal="left" wrapText="1"/>
    </xf>
    <xf numFmtId="0" fontId="39" fillId="0" borderId="25" xfId="0" applyFont="1" applyBorder="1" applyAlignment="1">
      <alignment horizontal="left" vertical="center" wrapText="1"/>
    </xf>
    <xf numFmtId="164" fontId="14" fillId="10" borderId="0" xfId="0" applyNumberFormat="1" applyFont="1" applyFill="1" applyAlignment="1">
      <alignment horizontal="center" vertical="center" wrapText="1"/>
    </xf>
    <xf numFmtId="0" fontId="33" fillId="0" borderId="28" xfId="0" applyFont="1" applyBorder="1" applyAlignment="1">
      <alignment horizontal="left" vertical="center" wrapText="1"/>
    </xf>
    <xf numFmtId="0" fontId="39" fillId="0" borderId="25" xfId="0" applyFont="1" applyBorder="1" applyAlignment="1">
      <alignment horizontal="left" wrapText="1"/>
    </xf>
    <xf numFmtId="0" fontId="14" fillId="10" borderId="41" xfId="0" applyFont="1" applyFill="1" applyBorder="1" applyAlignment="1">
      <alignment horizontal="left" vertical="center" wrapText="1"/>
    </xf>
    <xf numFmtId="0" fontId="100" fillId="0" borderId="59" xfId="0" applyFont="1" applyBorder="1" applyAlignment="1">
      <alignment vertical="top" wrapText="1"/>
    </xf>
    <xf numFmtId="0" fontId="100" fillId="0" borderId="57" xfId="0" applyFont="1" applyBorder="1" applyAlignment="1">
      <alignment vertical="top" wrapText="1"/>
    </xf>
    <xf numFmtId="0" fontId="100" fillId="0" borderId="55" xfId="0" applyFont="1" applyBorder="1" applyAlignment="1">
      <alignment vertical="top" wrapText="1"/>
    </xf>
    <xf numFmtId="0" fontId="101" fillId="0" borderId="59" xfId="0" applyFont="1" applyBorder="1" applyAlignment="1">
      <alignment vertical="top"/>
    </xf>
    <xf numFmtId="0" fontId="101" fillId="0" borderId="57" xfId="0" applyFont="1" applyBorder="1" applyAlignment="1">
      <alignment vertical="top"/>
    </xf>
    <xf numFmtId="0" fontId="101" fillId="0" borderId="55" xfId="0" applyFont="1" applyBorder="1" applyAlignment="1">
      <alignment vertical="top"/>
    </xf>
    <xf numFmtId="0" fontId="100" fillId="0" borderId="59" xfId="0" applyFont="1" applyBorder="1" applyAlignment="1">
      <alignment horizontal="left" vertical="top" wrapText="1"/>
    </xf>
    <xf numFmtId="0" fontId="100" fillId="0" borderId="57" xfId="0" applyFont="1" applyBorder="1" applyAlignment="1">
      <alignment horizontal="left" vertical="top" wrapText="1"/>
    </xf>
    <xf numFmtId="0" fontId="100" fillId="0" borderId="55" xfId="0" applyFont="1" applyBorder="1" applyAlignment="1">
      <alignment horizontal="left" vertical="top" wrapText="1"/>
    </xf>
    <xf numFmtId="0" fontId="100" fillId="0" borderId="59" xfId="0" applyFont="1" applyBorder="1" applyAlignment="1">
      <alignment horizontal="left" vertical="top"/>
    </xf>
    <xf numFmtId="0" fontId="100" fillId="0" borderId="57" xfId="0" applyFont="1" applyBorder="1" applyAlignment="1">
      <alignment horizontal="left" vertical="top"/>
    </xf>
    <xf numFmtId="0" fontId="100" fillId="0" borderId="55" xfId="0" applyFont="1" applyBorder="1" applyAlignment="1">
      <alignment horizontal="left" vertical="top"/>
    </xf>
    <xf numFmtId="0" fontId="101" fillId="0" borderId="59" xfId="0" applyFont="1" applyBorder="1" applyAlignment="1">
      <alignment vertical="top" wrapText="1"/>
    </xf>
    <xf numFmtId="0" fontId="101" fillId="0" borderId="57" xfId="0" applyFont="1" applyBorder="1" applyAlignment="1">
      <alignment vertical="top" wrapText="1"/>
    </xf>
    <xf numFmtId="0" fontId="101" fillId="0" borderId="55" xfId="0" applyFont="1" applyBorder="1" applyAlignment="1">
      <alignment vertical="top" wrapText="1"/>
    </xf>
    <xf numFmtId="0" fontId="100" fillId="0" borderId="59" xfId="0" applyFont="1" applyBorder="1" applyAlignment="1">
      <alignment vertical="top"/>
    </xf>
    <xf numFmtId="0" fontId="100" fillId="0" borderId="57" xfId="0" applyFont="1" applyBorder="1" applyAlignment="1">
      <alignment vertical="top"/>
    </xf>
    <xf numFmtId="0" fontId="100" fillId="0" borderId="55" xfId="0" applyFont="1" applyBorder="1" applyAlignment="1">
      <alignment vertical="top"/>
    </xf>
    <xf numFmtId="166" fontId="94" fillId="0" borderId="0" xfId="0" applyNumberFormat="1" applyFont="1" applyFill="1" applyAlignment="1">
      <alignment horizontal="right" vertical="center" wrapText="1"/>
    </xf>
  </cellXfs>
  <cellStyles count="39">
    <cellStyle name="_chairman_name" xfId="10" xr:uid="{00000000-0005-0000-0000-00000F000000}"/>
    <cellStyle name="_chairman_name_white" xfId="25" xr:uid="{00000000-0005-0000-0000-00002C000000}"/>
    <cellStyle name="_chairman_quotation" xfId="8" xr:uid="{00000000-0005-0000-0000-00000D000000}"/>
    <cellStyle name="_chairman_quotation_white" xfId="24" xr:uid="{00000000-0005-0000-0000-00002B000000}"/>
    <cellStyle name="_quote_name" xfId="5" xr:uid="{00000000-0005-0000-0000-000009000000}"/>
    <cellStyle name="_table_bold_small" xfId="9" xr:uid="{00000000-0005-0000-0000-00000E000000}"/>
    <cellStyle name="_table_header_white" xfId="23" xr:uid="{00000000-0005-0000-0000-000028000000}"/>
    <cellStyle name="_table_level_4" xfId="12" xr:uid="{00000000-0005-0000-0000-000013000000}"/>
    <cellStyle name="_table_level_5" xfId="26" xr:uid="{00000000-0005-0000-0000-00002F000000}"/>
    <cellStyle name="_table_text_small" xfId="3" xr:uid="{00000000-0005-0000-0000-000003000000}"/>
    <cellStyle name="•caption" xfId="13" xr:uid="{00000000-0005-0000-0000-000017000000}"/>
    <cellStyle name="•designation" xfId="31" xr:uid="{00000000-0005-0000-0000-00003C000000}"/>
    <cellStyle name="•footnotes" xfId="19" xr:uid="{00000000-0005-0000-0000-000021000000}"/>
    <cellStyle name="•for_the_year" xfId="14" xr:uid="{00000000-0005-0000-0000-000018000000}"/>
    <cellStyle name="•names" xfId="30" xr:uid="{00000000-0005-0000-0000-00003B000000}"/>
    <cellStyle name="•pull_quote" xfId="6" xr:uid="{00000000-0005-0000-0000-00000A000000}"/>
    <cellStyle name="•ref" xfId="33" xr:uid="{00000000-0005-0000-0000-00003F000000}"/>
    <cellStyle name="•secondary_page_head" xfId="11" xr:uid="{00000000-0005-0000-0000-000010000000}"/>
    <cellStyle name="•table_bold_figures" xfId="16" xr:uid="{00000000-0005-0000-0000-00001B000000}"/>
    <cellStyle name="•USD_head" xfId="22" xr:uid="{00000000-0005-0000-0000-000027000000}"/>
    <cellStyle name="•verb_head_bold_white" xfId="15" xr:uid="{00000000-0005-0000-0000-00001A000000}"/>
    <cellStyle name="board_cv_bullet" xfId="7" xr:uid="{00000000-0005-0000-0000-00000B000000}"/>
    <cellStyle name="body" xfId="21" xr:uid="{00000000-0005-0000-0000-000025000000}"/>
    <cellStyle name="body_no_space" xfId="4" xr:uid="{00000000-0005-0000-0000-000004000000}"/>
    <cellStyle name="bullet_1st" xfId="17" xr:uid="{00000000-0005-0000-0000-00001C000000}"/>
    <cellStyle name="Comma" xfId="38" builtinId="3"/>
    <cellStyle name="contents" xfId="34" xr:uid="{00000000-0005-0000-0000-000044000000}"/>
    <cellStyle name="footer_gold_fields" xfId="35" xr:uid="{00000000-0005-0000-0000-000045000000}"/>
    <cellStyle name="Hyperlink" xfId="36" builtinId="8"/>
    <cellStyle name="intro" xfId="32" xr:uid="{00000000-0005-0000-0000-00003D000000}"/>
    <cellStyle name="level_0" xfId="18" xr:uid="{00000000-0005-0000-0000-00001D000000}"/>
    <cellStyle name="Normal" xfId="0" builtinId="0"/>
    <cellStyle name="Normal 2" xfId="2" xr:uid="{00000000-0005-0000-0000-000002000000}"/>
    <cellStyle name="page ref" xfId="27" xr:uid="{00000000-0005-0000-0000-000032000000}"/>
    <cellStyle name="page_head_continued" xfId="28" xr:uid="{00000000-0005-0000-0000-000034000000}"/>
    <cellStyle name="Per cent" xfId="37" builtinId="5"/>
    <cellStyle name="Quote_committee_sign_white" xfId="29" xr:uid="{00000000-0005-0000-0000-000036000000}"/>
    <cellStyle name="Table (Normal)" xfId="1" xr:uid="{00000000-0005-0000-0000-000001000000}"/>
    <cellStyle name="table_body" xfId="20" xr:uid="{00000000-0005-0000-0000-000022000000}"/>
  </cellStyles>
  <dxfs count="0"/>
  <tableStyles count="0"/>
  <colors>
    <mruColors>
      <color rgb="FF002F66"/>
      <color rgb="FFE7F2F7"/>
      <color rgb="FFDAED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571500</xdr:colOff>
      <xdr:row>2</xdr:row>
      <xdr:rowOff>609206</xdr:rowOff>
    </xdr:to>
    <xdr:pic>
      <xdr:nvPicPr>
        <xdr:cNvPr id="2" name="Picture 1">
          <a:extLst>
            <a:ext uri="{FF2B5EF4-FFF2-40B4-BE49-F238E27FC236}">
              <a16:creationId xmlns:a16="http://schemas.microsoft.com/office/drawing/2014/main" id="{35E2938B-19F6-A676-4338-0077B77127C3}"/>
            </a:ext>
          </a:extLst>
        </xdr:cNvPr>
        <xdr:cNvPicPr>
          <a:picLocks noChangeAspect="1"/>
        </xdr:cNvPicPr>
      </xdr:nvPicPr>
      <xdr:blipFill>
        <a:blip xmlns:r="http://schemas.openxmlformats.org/officeDocument/2006/relationships" r:embed="rId1"/>
        <a:stretch>
          <a:fillRect/>
        </a:stretch>
      </xdr:blipFill>
      <xdr:spPr>
        <a:xfrm>
          <a:off x="0" y="0"/>
          <a:ext cx="15544800" cy="109978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214923</xdr:colOff>
      <xdr:row>28</xdr:row>
      <xdr:rowOff>139700</xdr:rowOff>
    </xdr:from>
    <xdr:ext cx="523224" cy="518573"/>
    <xdr:pic>
      <xdr:nvPicPr>
        <xdr:cNvPr id="2" name="SDG9.png" descr="SDG9.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888308" y="6323623"/>
          <a:ext cx="523224" cy="518573"/>
        </a:xfrm>
        <a:prstGeom prst="rect">
          <a:avLst/>
        </a:prstGeom>
      </xdr:spPr>
    </xdr:pic>
    <xdr:clientData/>
  </xdr:oneCellAnchor>
  <xdr:oneCellAnchor>
    <xdr:from>
      <xdr:col>7</xdr:col>
      <xdr:colOff>214923</xdr:colOff>
      <xdr:row>41</xdr:row>
      <xdr:rowOff>444500</xdr:rowOff>
    </xdr:from>
    <xdr:ext cx="523224" cy="523224"/>
    <xdr:pic>
      <xdr:nvPicPr>
        <xdr:cNvPr id="3" name="SDG8.png" descr="SDG8.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4888308" y="9207500"/>
          <a:ext cx="523224" cy="523224"/>
        </a:xfrm>
        <a:prstGeom prst="rect">
          <a:avLst/>
        </a:prstGeom>
      </xdr:spPr>
    </xdr:pic>
    <xdr:clientData/>
  </xdr:oneCellAnchor>
  <xdr:oneCellAnchor>
    <xdr:from>
      <xdr:col>7</xdr:col>
      <xdr:colOff>214923</xdr:colOff>
      <xdr:row>41</xdr:row>
      <xdr:rowOff>1104900</xdr:rowOff>
    </xdr:from>
    <xdr:ext cx="523224" cy="518573"/>
    <xdr:pic>
      <xdr:nvPicPr>
        <xdr:cNvPr id="4" name="SDG9.png" descr="SDG9.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4888308" y="9867900"/>
          <a:ext cx="523224" cy="518573"/>
        </a:xfrm>
        <a:prstGeom prst="rect">
          <a:avLst/>
        </a:prstGeom>
      </xdr:spPr>
    </xdr:pic>
    <xdr:clientData/>
  </xdr:oneCellAnchor>
  <xdr:oneCellAnchor>
    <xdr:from>
      <xdr:col>7</xdr:col>
      <xdr:colOff>214923</xdr:colOff>
      <xdr:row>51</xdr:row>
      <xdr:rowOff>584200</xdr:rowOff>
    </xdr:from>
    <xdr:ext cx="523224" cy="523224"/>
    <xdr:pic>
      <xdr:nvPicPr>
        <xdr:cNvPr id="5" name="SDG8.png" descr="SDG8.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4888308" y="12385431"/>
          <a:ext cx="523224" cy="523224"/>
        </a:xfrm>
        <a:prstGeom prst="rect">
          <a:avLst/>
        </a:prstGeom>
      </xdr:spPr>
    </xdr:pic>
    <xdr:clientData/>
  </xdr:oneCellAnchor>
  <xdr:oneCellAnchor>
    <xdr:from>
      <xdr:col>7</xdr:col>
      <xdr:colOff>214923</xdr:colOff>
      <xdr:row>61</xdr:row>
      <xdr:rowOff>50000</xdr:rowOff>
    </xdr:from>
    <xdr:ext cx="523224" cy="523224"/>
    <xdr:pic>
      <xdr:nvPicPr>
        <xdr:cNvPr id="6" name="SDG8.png" descr="SDG8.pn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14888308" y="14322846"/>
          <a:ext cx="523224" cy="523224"/>
        </a:xfrm>
        <a:prstGeom prst="rect">
          <a:avLst/>
        </a:prstGeom>
      </xdr:spPr>
    </xdr:pic>
    <xdr:clientData/>
  </xdr:oneCellAnchor>
  <xdr:oneCellAnchor>
    <xdr:from>
      <xdr:col>7</xdr:col>
      <xdr:colOff>214923</xdr:colOff>
      <xdr:row>70</xdr:row>
      <xdr:rowOff>152400</xdr:rowOff>
    </xdr:from>
    <xdr:ext cx="523224" cy="523224"/>
    <xdr:pic>
      <xdr:nvPicPr>
        <xdr:cNvPr id="7" name="SDG5.png" descr="SDG5.pn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14888308" y="16437708"/>
          <a:ext cx="523224" cy="523224"/>
        </a:xfrm>
        <a:prstGeom prst="rect">
          <a:avLst/>
        </a:prstGeom>
      </xdr:spPr>
    </xdr:pic>
    <xdr:clientData/>
  </xdr:oneCellAnchor>
  <xdr:oneCellAnchor>
    <xdr:from>
      <xdr:col>7</xdr:col>
      <xdr:colOff>214923</xdr:colOff>
      <xdr:row>79</xdr:row>
      <xdr:rowOff>749300</xdr:rowOff>
    </xdr:from>
    <xdr:ext cx="523224" cy="518573"/>
    <xdr:pic>
      <xdr:nvPicPr>
        <xdr:cNvPr id="8" name="SDG9.png" descr="SDG9.pn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14888308" y="19125223"/>
          <a:ext cx="523224" cy="518573"/>
        </a:xfrm>
        <a:prstGeom prst="rect">
          <a:avLst/>
        </a:prstGeom>
      </xdr:spPr>
    </xdr:pic>
    <xdr:clientData/>
  </xdr:oneCellAnchor>
  <xdr:oneCellAnchor>
    <xdr:from>
      <xdr:col>7</xdr:col>
      <xdr:colOff>214923</xdr:colOff>
      <xdr:row>133</xdr:row>
      <xdr:rowOff>0</xdr:rowOff>
    </xdr:from>
    <xdr:ext cx="523224" cy="523224"/>
    <xdr:pic>
      <xdr:nvPicPr>
        <xdr:cNvPr id="9" name="SDG8.png" descr="SDG8.pn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14888308" y="32639000"/>
          <a:ext cx="523224" cy="523224"/>
        </a:xfrm>
        <a:prstGeom prst="rect">
          <a:avLst/>
        </a:prstGeom>
      </xdr:spPr>
    </xdr:pic>
    <xdr:clientData/>
  </xdr:oneCellAnchor>
  <xdr:oneCellAnchor>
    <xdr:from>
      <xdr:col>7</xdr:col>
      <xdr:colOff>214923</xdr:colOff>
      <xdr:row>137</xdr:row>
      <xdr:rowOff>50000</xdr:rowOff>
    </xdr:from>
    <xdr:ext cx="523224" cy="523224"/>
    <xdr:pic>
      <xdr:nvPicPr>
        <xdr:cNvPr id="10" name="SDG8.png" descr="SDG8.png">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14888308" y="33470538"/>
          <a:ext cx="523224" cy="523224"/>
        </a:xfrm>
        <a:prstGeom prst="rect">
          <a:avLst/>
        </a:prstGeom>
      </xdr:spPr>
    </xdr:pic>
    <xdr:clientData/>
  </xdr:oneCellAnchor>
  <xdr:oneCellAnchor>
    <xdr:from>
      <xdr:col>7</xdr:col>
      <xdr:colOff>214923</xdr:colOff>
      <xdr:row>153</xdr:row>
      <xdr:rowOff>494500</xdr:rowOff>
    </xdr:from>
    <xdr:ext cx="523224" cy="523224"/>
    <xdr:pic>
      <xdr:nvPicPr>
        <xdr:cNvPr id="11" name="SDG12.png" descr="SDG12.pn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stretch>
          <a:fillRect/>
        </a:stretch>
      </xdr:blipFill>
      <xdr:spPr>
        <a:xfrm>
          <a:off x="14888308" y="37852038"/>
          <a:ext cx="523224" cy="523224"/>
        </a:xfrm>
        <a:prstGeom prst="rect">
          <a:avLst/>
        </a:prstGeom>
      </xdr:spPr>
    </xdr:pic>
    <xdr:clientData/>
  </xdr:oneCellAnchor>
  <xdr:oneCellAnchor>
    <xdr:from>
      <xdr:col>7</xdr:col>
      <xdr:colOff>214923</xdr:colOff>
      <xdr:row>153</xdr:row>
      <xdr:rowOff>1154900</xdr:rowOff>
    </xdr:from>
    <xdr:ext cx="523224" cy="520898"/>
    <xdr:pic>
      <xdr:nvPicPr>
        <xdr:cNvPr id="12" name="SDG16.png" descr="SDG16.png">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a:stretch>
          <a:fillRect/>
        </a:stretch>
      </xdr:blipFill>
      <xdr:spPr>
        <a:xfrm>
          <a:off x="14888308" y="38512438"/>
          <a:ext cx="523224" cy="520898"/>
        </a:xfrm>
        <a:prstGeom prst="rect">
          <a:avLst/>
        </a:prstGeom>
      </xdr:spPr>
    </xdr:pic>
    <xdr:clientData/>
  </xdr:oneCellAnchor>
  <xdr:oneCellAnchor>
    <xdr:from>
      <xdr:col>7</xdr:col>
      <xdr:colOff>214923</xdr:colOff>
      <xdr:row>191</xdr:row>
      <xdr:rowOff>0</xdr:rowOff>
    </xdr:from>
    <xdr:ext cx="523224" cy="523224"/>
    <xdr:pic>
      <xdr:nvPicPr>
        <xdr:cNvPr id="13" name="SDG12.png" descr="SDG12.png">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14888308" y="48836385"/>
          <a:ext cx="523224" cy="523224"/>
        </a:xfrm>
        <a:prstGeom prst="rect">
          <a:avLst/>
        </a:prstGeom>
      </xdr:spPr>
    </xdr:pic>
    <xdr:clientData/>
  </xdr:oneCellAnchor>
  <xdr:oneCellAnchor>
    <xdr:from>
      <xdr:col>7</xdr:col>
      <xdr:colOff>214923</xdr:colOff>
      <xdr:row>193</xdr:row>
      <xdr:rowOff>165100</xdr:rowOff>
    </xdr:from>
    <xdr:ext cx="523224" cy="520898"/>
    <xdr:pic>
      <xdr:nvPicPr>
        <xdr:cNvPr id="14" name="SDG16.png" descr="SDG16.png">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5"/>
        <a:stretch>
          <a:fillRect/>
        </a:stretch>
      </xdr:blipFill>
      <xdr:spPr>
        <a:xfrm>
          <a:off x="14888308" y="49529023"/>
          <a:ext cx="523224" cy="520898"/>
        </a:xfrm>
        <a:prstGeom prst="rect">
          <a:avLst/>
        </a:prstGeom>
      </xdr:spPr>
    </xdr:pic>
    <xdr:clientData/>
  </xdr:oneCellAnchor>
  <xdr:oneCellAnchor>
    <xdr:from>
      <xdr:col>7</xdr:col>
      <xdr:colOff>214923</xdr:colOff>
      <xdr:row>207</xdr:row>
      <xdr:rowOff>101600</xdr:rowOff>
    </xdr:from>
    <xdr:ext cx="523224" cy="523224"/>
    <xdr:pic>
      <xdr:nvPicPr>
        <xdr:cNvPr id="15" name="SDG17.png" descr="SDG17.png">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6"/>
        <a:stretch>
          <a:fillRect/>
        </a:stretch>
      </xdr:blipFill>
      <xdr:spPr>
        <a:xfrm>
          <a:off x="14888308" y="52132523"/>
          <a:ext cx="523224" cy="523224"/>
        </a:xfrm>
        <a:prstGeom prst="rect">
          <a:avLst/>
        </a:prstGeom>
      </xdr:spPr>
    </xdr:pic>
    <xdr:clientData/>
  </xdr:oneCellAnchor>
  <xdr:oneCellAnchor>
    <xdr:from>
      <xdr:col>7</xdr:col>
      <xdr:colOff>214923</xdr:colOff>
      <xdr:row>215</xdr:row>
      <xdr:rowOff>673100</xdr:rowOff>
    </xdr:from>
    <xdr:ext cx="523224" cy="523224"/>
    <xdr:pic>
      <xdr:nvPicPr>
        <xdr:cNvPr id="16" name="SDG11.png" descr="SDG11.png">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14888308" y="54267100"/>
          <a:ext cx="523224" cy="523224"/>
        </a:xfrm>
        <a:prstGeom prst="rect">
          <a:avLst/>
        </a:prstGeom>
      </xdr:spPr>
    </xdr:pic>
    <xdr:clientData/>
  </xdr:oneCellAnchor>
  <xdr:oneCellAnchor>
    <xdr:from>
      <xdr:col>7</xdr:col>
      <xdr:colOff>214923</xdr:colOff>
      <xdr:row>215</xdr:row>
      <xdr:rowOff>1371600</xdr:rowOff>
    </xdr:from>
    <xdr:ext cx="523224" cy="523224"/>
    <xdr:pic>
      <xdr:nvPicPr>
        <xdr:cNvPr id="17" name="SDG17.png" descr="SDG17.png">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6"/>
        <a:stretch>
          <a:fillRect/>
        </a:stretch>
      </xdr:blipFill>
      <xdr:spPr>
        <a:xfrm>
          <a:off x="14888308" y="54965600"/>
          <a:ext cx="523224" cy="523224"/>
        </a:xfrm>
        <a:prstGeom prst="rect">
          <a:avLst/>
        </a:prstGeom>
      </xdr:spPr>
    </xdr:pic>
    <xdr:clientData/>
  </xdr:oneCellAnchor>
  <xdr:oneCellAnchor>
    <xdr:from>
      <xdr:col>7</xdr:col>
      <xdr:colOff>214923</xdr:colOff>
      <xdr:row>225</xdr:row>
      <xdr:rowOff>50800</xdr:rowOff>
    </xdr:from>
    <xdr:ext cx="523224" cy="523224"/>
    <xdr:pic>
      <xdr:nvPicPr>
        <xdr:cNvPr id="18" name="SDG8.png" descr="SDG8.png">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2"/>
        <a:stretch>
          <a:fillRect/>
        </a:stretch>
      </xdr:blipFill>
      <xdr:spPr>
        <a:xfrm>
          <a:off x="14888308" y="57405954"/>
          <a:ext cx="523224" cy="523224"/>
        </a:xfrm>
        <a:prstGeom prst="rect">
          <a:avLst/>
        </a:prstGeom>
      </xdr:spPr>
    </xdr:pic>
    <xdr:clientData/>
  </xdr:oneCellAnchor>
  <xdr:oneCellAnchor>
    <xdr:from>
      <xdr:col>7</xdr:col>
      <xdr:colOff>214923</xdr:colOff>
      <xdr:row>249</xdr:row>
      <xdr:rowOff>546100</xdr:rowOff>
    </xdr:from>
    <xdr:ext cx="523224" cy="523224"/>
    <xdr:pic>
      <xdr:nvPicPr>
        <xdr:cNvPr id="19" name="SDG8.png" descr="SDG8.png">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a:stretch>
          <a:fillRect/>
        </a:stretch>
      </xdr:blipFill>
      <xdr:spPr>
        <a:xfrm>
          <a:off x="14888308" y="63899562"/>
          <a:ext cx="523224" cy="523224"/>
        </a:xfrm>
        <a:prstGeom prst="rect">
          <a:avLst/>
        </a:prstGeom>
      </xdr:spPr>
    </xdr:pic>
    <xdr:clientData/>
  </xdr:oneCellAnchor>
  <xdr:oneCellAnchor>
    <xdr:from>
      <xdr:col>7</xdr:col>
      <xdr:colOff>214923</xdr:colOff>
      <xdr:row>256</xdr:row>
      <xdr:rowOff>520700</xdr:rowOff>
    </xdr:from>
    <xdr:ext cx="523224" cy="523224"/>
    <xdr:pic>
      <xdr:nvPicPr>
        <xdr:cNvPr id="20" name="SDG13.png" descr="SDG13.png">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8"/>
        <a:stretch>
          <a:fillRect/>
        </a:stretch>
      </xdr:blipFill>
      <xdr:spPr>
        <a:xfrm>
          <a:off x="14888308" y="66433700"/>
          <a:ext cx="523224" cy="523224"/>
        </a:xfrm>
        <a:prstGeom prst="rect">
          <a:avLst/>
        </a:prstGeom>
      </xdr:spPr>
    </xdr:pic>
    <xdr:clientData/>
  </xdr:oneCellAnchor>
  <xdr:oneCellAnchor>
    <xdr:from>
      <xdr:col>7</xdr:col>
      <xdr:colOff>214923</xdr:colOff>
      <xdr:row>620</xdr:row>
      <xdr:rowOff>215900</xdr:rowOff>
    </xdr:from>
    <xdr:ext cx="523224" cy="520898"/>
    <xdr:pic>
      <xdr:nvPicPr>
        <xdr:cNvPr id="21" name="SDG4.png" descr="SDG4.png">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9"/>
        <a:stretch>
          <a:fillRect/>
        </a:stretch>
      </xdr:blipFill>
      <xdr:spPr>
        <a:xfrm>
          <a:off x="14888308" y="150642515"/>
          <a:ext cx="523224" cy="520898"/>
        </a:xfrm>
        <a:prstGeom prst="rect">
          <a:avLst/>
        </a:prstGeom>
      </xdr:spPr>
    </xdr:pic>
    <xdr:clientData/>
  </xdr:oneCellAnchor>
  <xdr:oneCellAnchor>
    <xdr:from>
      <xdr:col>7</xdr:col>
      <xdr:colOff>214923</xdr:colOff>
      <xdr:row>624</xdr:row>
      <xdr:rowOff>50000</xdr:rowOff>
    </xdr:from>
    <xdr:ext cx="523224" cy="520898"/>
    <xdr:pic>
      <xdr:nvPicPr>
        <xdr:cNvPr id="22" name="SDG4.png" descr="SDG4.png">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14888308" y="151990846"/>
          <a:ext cx="523224" cy="520898"/>
        </a:xfrm>
        <a:prstGeom prst="rect">
          <a:avLst/>
        </a:prstGeom>
      </xdr:spPr>
    </xdr:pic>
    <xdr:clientData/>
  </xdr:oneCellAnchor>
  <xdr:oneCellAnchor>
    <xdr:from>
      <xdr:col>7</xdr:col>
      <xdr:colOff>214923</xdr:colOff>
      <xdr:row>625</xdr:row>
      <xdr:rowOff>50800</xdr:rowOff>
    </xdr:from>
    <xdr:ext cx="523224" cy="520898"/>
    <xdr:pic>
      <xdr:nvPicPr>
        <xdr:cNvPr id="23" name="SDG4.png" descr="SDG4.png">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9"/>
        <a:stretch>
          <a:fillRect/>
        </a:stretch>
      </xdr:blipFill>
      <xdr:spPr>
        <a:xfrm>
          <a:off x="14888308" y="152626646"/>
          <a:ext cx="523224" cy="520898"/>
        </a:xfrm>
        <a:prstGeom prst="rect">
          <a:avLst/>
        </a:prstGeom>
      </xdr:spPr>
    </xdr:pic>
    <xdr:clientData/>
  </xdr:oneCellAnchor>
  <xdr:oneCellAnchor>
    <xdr:from>
      <xdr:col>7</xdr:col>
      <xdr:colOff>214923</xdr:colOff>
      <xdr:row>628</xdr:row>
      <xdr:rowOff>38100</xdr:rowOff>
    </xdr:from>
    <xdr:ext cx="523224" cy="520898"/>
    <xdr:pic>
      <xdr:nvPicPr>
        <xdr:cNvPr id="24" name="SDG4.png" descr="SDG4.png">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stretch>
          <a:fillRect/>
        </a:stretch>
      </xdr:blipFill>
      <xdr:spPr>
        <a:xfrm>
          <a:off x="14888308" y="153610408"/>
          <a:ext cx="523224" cy="520898"/>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goldfields.com/sustainability.ph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goldfields.com/management-approaches.php" TargetMode="External"/><Relationship Id="rId299" Type="http://schemas.openxmlformats.org/officeDocument/2006/relationships/hyperlink" Target="https://www.goldfields.com/pdf/investors/integrated-annual-reports/2023/gold-fields-report-to-stakeholders-2023.pdf" TargetMode="External"/><Relationship Id="rId21" Type="http://schemas.openxmlformats.org/officeDocument/2006/relationships/hyperlink" Target="https://www.goldfields.com/management-approaches.php" TargetMode="External"/><Relationship Id="rId63" Type="http://schemas.openxmlformats.org/officeDocument/2006/relationships/hyperlink" Target="https://www.goldfields.com/pdf/about-us/corporate-governance/policies/2022/materials-supply-chain-stewardship-policy-statement.pdf" TargetMode="External"/><Relationship Id="rId159" Type="http://schemas.openxmlformats.org/officeDocument/2006/relationships/hyperlink" Target="https://www.goldfields.com/pdf/investors/integrated-annual-reports/2023/iar-2023-lowres.pdf" TargetMode="External"/><Relationship Id="rId324" Type="http://schemas.openxmlformats.org/officeDocument/2006/relationships/hyperlink" Target="https://www.goldfields.com/pdf/investors/integrated-annual-reports/2023/gold-fields-ccr-report-2023.pdf" TargetMode="External"/><Relationship Id="rId366" Type="http://schemas.openxmlformats.org/officeDocument/2006/relationships/hyperlink" Target="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dc6aec071d944bef89248a9657962175&amp;s=AVNPUEhUT0NFTkNSWVBUSVYbRGZ7Vt_I2OjXtFPvyyIk8l95d25osPCz0vxT0xWWnQ" TargetMode="External"/><Relationship Id="rId170" Type="http://schemas.openxmlformats.org/officeDocument/2006/relationships/hyperlink" Target="https://www.goldfields.com/pdf/investors/integrated-annual-reports/2023/iar-2023-lowres.pdf" TargetMode="External"/><Relationship Id="rId226" Type="http://schemas.openxmlformats.org/officeDocument/2006/relationships/hyperlink" Target="https://www.goldfields.com/pdf/investors/integrated-annual-reports/2023/iar-2023-lowres.pdf" TargetMode="External"/><Relationship Id="rId268" Type="http://schemas.openxmlformats.org/officeDocument/2006/relationships/hyperlink" Target="https://www.goldfields.com/pdf/investors/integrated-annual-reports/2023/gold-fields-report-to-stakeholders-2023.pdf" TargetMode="External"/><Relationship Id="rId32" Type="http://schemas.openxmlformats.org/officeDocument/2006/relationships/hyperlink" Target="https://www.goldfields.com/standards-and-principles.php" TargetMode="External"/><Relationship Id="rId74" Type="http://schemas.openxmlformats.org/officeDocument/2006/relationships/hyperlink" Target="https://www.goldfields.com/management-approaches.php" TargetMode="External"/><Relationship Id="rId128" Type="http://schemas.openxmlformats.org/officeDocument/2006/relationships/hyperlink" Target="https://www.goldfields.com/standards-and-principles.php" TargetMode="External"/><Relationship Id="rId335" Type="http://schemas.openxmlformats.org/officeDocument/2006/relationships/hyperlink" Target="https://www.goldfields.com/pdf/investors/integrated-annual-reports/2023/afs-2023.pdf" TargetMode="External"/><Relationship Id="rId377" Type="http://schemas.openxmlformats.org/officeDocument/2006/relationships/hyperlink" Target="https://www.goldfields.com/code-of-conduct.php" TargetMode="External"/><Relationship Id="rId5" Type="http://schemas.openxmlformats.org/officeDocument/2006/relationships/hyperlink" Target="https://www.goldfields.com/management-approaches.php" TargetMode="External"/><Relationship Id="rId181" Type="http://schemas.openxmlformats.org/officeDocument/2006/relationships/hyperlink" Target="https://www.goldfields.com/pdf/investors/integrated-annual-reports/2023/iar-2023-lowres.pdf" TargetMode="External"/><Relationship Id="rId237" Type="http://schemas.openxmlformats.org/officeDocument/2006/relationships/hyperlink" Target="https://www.goldfields.com/pdf/investors/integrated-annual-reports/2023/governance-and-remuneration-report-2023.pdf" TargetMode="External"/><Relationship Id="rId279" Type="http://schemas.openxmlformats.org/officeDocument/2006/relationships/hyperlink" Target="https://www.goldfields.com/pdf/investors/integrated-annual-reports/2023/gold-fields-report-to-stakeholders-2023.pdf" TargetMode="External"/><Relationship Id="rId43" Type="http://schemas.openxmlformats.org/officeDocument/2006/relationships/hyperlink" Target="https://www.goldfields.com/policies.php" TargetMode="External"/><Relationship Id="rId139" Type="http://schemas.openxmlformats.org/officeDocument/2006/relationships/hyperlink" Target="https://www.goldfields.com/pdf/investors/integrated-annual-reports/2023/iar-2023-lowres.pdf" TargetMode="External"/><Relationship Id="rId290" Type="http://schemas.openxmlformats.org/officeDocument/2006/relationships/hyperlink" Target="https://www.goldfields.com/pdf/investors/integrated-annual-reports/2023/gold-fields-report-to-stakeholders-2023.pdf" TargetMode="External"/><Relationship Id="rId304" Type="http://schemas.openxmlformats.org/officeDocument/2006/relationships/hyperlink" Target="https://www.goldfields.com/pdf/investors/integrated-annual-reports/2023/gold-fields-report-to-stakeholders-2023.pdf" TargetMode="External"/><Relationship Id="rId346" Type="http://schemas.openxmlformats.org/officeDocument/2006/relationships/hyperlink" Target="https://www.goldfields.com/pdf/investors/integrated-annual-reports/2023/governance-and-remuneration-report-2023.pdf" TargetMode="External"/><Relationship Id="rId388" Type="http://schemas.openxmlformats.org/officeDocument/2006/relationships/hyperlink" Target="https://us-west-2.protection.sophos.com/?d=goldfields.com&amp;u=aHR0cHM6Ly93d3cuZ29sZGZpZWxkcy5jb20vd2FzdGUtbWFuYWdlbWVudC5waHA=&amp;p=m&amp;i=NjJlOTdiODg4NzYxZjgxMTViOGRlMDY0&amp;t=WnBWWmJDOG9zbGg2WTVqUmJCYTdZQzNDTDVzV1Q5dlhCSTNqTE1QeVZGVT0=&amp;h=7184ef4bef6c4523961593f41db74f40&amp;s=AVNPUEhUT0NFTkNSWVBUSVYbRGZ7Vt_I2OjXtFPvyyIk8l95d25osPCz0vxT0xWWnQ" TargetMode="External"/><Relationship Id="rId85" Type="http://schemas.openxmlformats.org/officeDocument/2006/relationships/hyperlink" Target="https://www.goldfields.com/management-approaches.php" TargetMode="External"/><Relationship Id="rId150" Type="http://schemas.openxmlformats.org/officeDocument/2006/relationships/hyperlink" Target="https://www.goldfields.com/pdf/investors/integrated-annual-reports/2023/iar-2023-lowres.pdf" TargetMode="External"/><Relationship Id="rId192" Type="http://schemas.openxmlformats.org/officeDocument/2006/relationships/hyperlink" Target="https://www.goldfields.com/pdf/investors/integrated-annual-reports/2023/iar-2023-lowres.pdf" TargetMode="External"/><Relationship Id="rId206" Type="http://schemas.openxmlformats.org/officeDocument/2006/relationships/hyperlink" Target="https://www.goldfields.com/pdf/investors/integrated-annual-reports/2023/iar-2023-lowres.pdf" TargetMode="External"/><Relationship Id="rId248" Type="http://schemas.openxmlformats.org/officeDocument/2006/relationships/hyperlink" Target="https://www.goldfields.com/pdf/investors/integrated-annual-reports/2023/governance-and-remuneration-report-2023.pdf" TargetMode="External"/><Relationship Id="rId12" Type="http://schemas.openxmlformats.org/officeDocument/2006/relationships/hyperlink" Target="https://www.goldfields.com/code-of-conduct/index.php" TargetMode="External"/><Relationship Id="rId108" Type="http://schemas.openxmlformats.org/officeDocument/2006/relationships/hyperlink" Target="https://www.goldfields.com/policies.php" TargetMode="External"/><Relationship Id="rId315" Type="http://schemas.openxmlformats.org/officeDocument/2006/relationships/hyperlink" Target="https://www.goldfields.com/pdf/investors/integrated-annual-reports/2023/gold-fields-ccr-report-2023.pdf" TargetMode="External"/><Relationship Id="rId357" Type="http://schemas.openxmlformats.org/officeDocument/2006/relationships/hyperlink" Target="https://www.goldfields.com/supply-chain-risk-management.php" TargetMode="External"/><Relationship Id="rId54" Type="http://schemas.openxmlformats.org/officeDocument/2006/relationships/hyperlink" Target="http://www.goldfields.com/pdf/about-us/corporate-governance/policies/2022/gfl-updated-tax-policy.pdf" TargetMode="External"/><Relationship Id="rId96" Type="http://schemas.openxmlformats.org/officeDocument/2006/relationships/hyperlink" Target="https://www.goldfields.com/working-at-goldfields.php" TargetMode="External"/><Relationship Id="rId161" Type="http://schemas.openxmlformats.org/officeDocument/2006/relationships/hyperlink" Target="https://www.goldfields.com/pdf/investors/integrated-annual-reports/2023/iar-2023-lowres.pdf" TargetMode="External"/><Relationship Id="rId217" Type="http://schemas.openxmlformats.org/officeDocument/2006/relationships/hyperlink" Target="https://www.goldfields.com/pdf/investors/integrated-annual-reports/2023/iar-2023-lowres.pdf" TargetMode="External"/><Relationship Id="rId259" Type="http://schemas.openxmlformats.org/officeDocument/2006/relationships/hyperlink" Target="https://www.goldfields.com/pdf/investors/integrated-annual-reports/2023/gold-fields-report-to-stakeholders-2023.pdf" TargetMode="External"/><Relationship Id="rId23" Type="http://schemas.openxmlformats.org/officeDocument/2006/relationships/hyperlink" Target="https://www.goldfields.com/standards-and-principles.php" TargetMode="External"/><Relationship Id="rId119" Type="http://schemas.openxmlformats.org/officeDocument/2006/relationships/hyperlink" Target="https://www.goldfields.com/stakeholder-engagement.php" TargetMode="External"/><Relationship Id="rId270" Type="http://schemas.openxmlformats.org/officeDocument/2006/relationships/hyperlink" Target="https://www.goldfields.com/pdf/investors/integrated-annual-reports/2023/gold-fields-report-to-stakeholders-2023.pdf" TargetMode="External"/><Relationship Id="rId326" Type="http://schemas.openxmlformats.org/officeDocument/2006/relationships/hyperlink" Target="https://www.goldfields.com/pdf/investors/integrated-annual-reports/2023/gold-fields-ccr-report-2023.pdf" TargetMode="External"/><Relationship Id="rId65" Type="http://schemas.openxmlformats.org/officeDocument/2006/relationships/hyperlink" Target="https://www.goldfields.com/management-approaches.php" TargetMode="External"/><Relationship Id="rId130" Type="http://schemas.openxmlformats.org/officeDocument/2006/relationships/hyperlink" Target="https://www.goldfields.com/pdf/sustainbility/guidelines/community-relations-and-stakeholder-engagement/community-relations.pdf" TargetMode="External"/><Relationship Id="rId368" Type="http://schemas.openxmlformats.org/officeDocument/2006/relationships/hyperlink" Target="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TargetMode="External"/><Relationship Id="rId172" Type="http://schemas.openxmlformats.org/officeDocument/2006/relationships/hyperlink" Target="https://www.goldfields.com/pdf/investors/integrated-annual-reports/2023/iar-2023-lowres.pdf" TargetMode="External"/><Relationship Id="rId228" Type="http://schemas.openxmlformats.org/officeDocument/2006/relationships/hyperlink" Target="https://www.goldfields.com/pdf/investors/integrated-annual-reports/2023/iar-2023-lowres.pdf" TargetMode="External"/><Relationship Id="rId281" Type="http://schemas.openxmlformats.org/officeDocument/2006/relationships/hyperlink" Target="https://www.goldfields.com/pdf/investors/integrated-annual-reports/2023/gold-fields-report-to-stakeholders-2023.pdf" TargetMode="External"/><Relationship Id="rId337" Type="http://schemas.openxmlformats.org/officeDocument/2006/relationships/hyperlink" Target="https://www.goldfields.com/pdf/investors/integrated-annual-reports/2023/afs-2023.pdf" TargetMode="External"/><Relationship Id="rId34" Type="http://schemas.openxmlformats.org/officeDocument/2006/relationships/hyperlink" Target="https://www.goldfields.com/management-approaches.php" TargetMode="External"/><Relationship Id="rId76" Type="http://schemas.openxmlformats.org/officeDocument/2006/relationships/hyperlink" Target="https://www.goldfields.com/policies.php" TargetMode="External"/><Relationship Id="rId141" Type="http://schemas.openxmlformats.org/officeDocument/2006/relationships/hyperlink" Target="https://www.goldfields.com/pdf/investors/integrated-annual-reports/2023/iar-2023-lowres.pdf" TargetMode="External"/><Relationship Id="rId379" Type="http://schemas.openxmlformats.org/officeDocument/2006/relationships/hyperlink" Target="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dc6aec071d944bef89248a9657962175&amp;s=AVNPUEhUT0NFTkNSWVBUSVYbRGZ7Vt_I2OjXtFPvyyIk8l95d25osPCz0vxT0xWWnQ" TargetMode="External"/><Relationship Id="rId7" Type="http://schemas.openxmlformats.org/officeDocument/2006/relationships/hyperlink" Target="https://www.goldfields.com/this-is-gold-fields.php" TargetMode="External"/><Relationship Id="rId183" Type="http://schemas.openxmlformats.org/officeDocument/2006/relationships/hyperlink" Target="https://www.goldfields.com/pdf/investors/integrated-annual-reports/2023/iar-2023-lowres.pdf" TargetMode="External"/><Relationship Id="rId239" Type="http://schemas.openxmlformats.org/officeDocument/2006/relationships/hyperlink" Target="https://www.goldfields.com/pdf/investors/integrated-annual-reports/2023/governance-and-remuneration-report-2023.pdf" TargetMode="External"/><Relationship Id="rId390" Type="http://schemas.openxmlformats.org/officeDocument/2006/relationships/hyperlink" Target="https://us-west-2.protection.sophos.com/?d=goldfields.com&amp;u=aHR0cHM6Ly93d3cuZ29sZGZpZWxkcy5jb20vcGRmL2Fib3V0LXVzL2NvcnBvcmF0ZS1nb3Zlcm5hbmNlL3BvbGljaWVzLzIwMjMvZGl2ZXJzaXR5LWVxdWl0eS1pbmNsdXNpb24tYW5kLWJlbG9uZ2luZy1wb2xpY3ktc3RhdGVtZW50LnBkZg==&amp;p=m&amp;i=NjJlOTdiODg4NzYxZjgxMTViOGRlMDY0&amp;t=SjV6U0N0WVhTQlc3RE15ZEgvTEVIZ0QyV2ErK1JZQ2lJTWZCbnNtOFNRbz0=&amp;h=f46f3eeb01714a849b5147fef008063f&amp;s=AVNPUEhUT0NFTkNSWVBUSVYbRGZ7Vt_I2OjXtFPvyyIk8l95d25osPCz0vxT0xWWnQ" TargetMode="External"/><Relationship Id="rId250" Type="http://schemas.openxmlformats.org/officeDocument/2006/relationships/hyperlink" Target="https://www.goldfields.com/pdf/investors/integrated-annual-reports/2023/governance-and-remuneration-report-2023.pdf" TargetMode="External"/><Relationship Id="rId292" Type="http://schemas.openxmlformats.org/officeDocument/2006/relationships/hyperlink" Target="https://www.goldfields.com/pdf/investors/integrated-annual-reports/2023/gold-fields-report-to-stakeholders-2023.pdf" TargetMode="External"/><Relationship Id="rId306" Type="http://schemas.openxmlformats.org/officeDocument/2006/relationships/hyperlink" Target="https://www.goldfields.com/pdf/investors/integrated-annual-reports/2023/gold-fields-report-to-stakeholders-2023.pdf" TargetMode="External"/><Relationship Id="rId45" Type="http://schemas.openxmlformats.org/officeDocument/2006/relationships/hyperlink" Target="https://www.goldfields.com/management-approaches.php" TargetMode="External"/><Relationship Id="rId87" Type="http://schemas.openxmlformats.org/officeDocument/2006/relationships/hyperlink" Target="https://www.goldfields.com/management-approaches.php" TargetMode="External"/><Relationship Id="rId110" Type="http://schemas.openxmlformats.org/officeDocument/2006/relationships/hyperlink" Target="https://www.goldfields.com/code-of-conduct.php" TargetMode="External"/><Relationship Id="rId348" Type="http://schemas.openxmlformats.org/officeDocument/2006/relationships/hyperlink" Target="https://www.goldfields.com/pdf/investors/integrated-annual-reports/2023/gold-fields-report-to-stakeholders-2023.pdf" TargetMode="External"/><Relationship Id="rId152" Type="http://schemas.openxmlformats.org/officeDocument/2006/relationships/hyperlink" Target="https://www.goldfields.com/pdf/investors/integrated-annual-reports/2023/iar-2023-lowres.pdf" TargetMode="External"/><Relationship Id="rId194" Type="http://schemas.openxmlformats.org/officeDocument/2006/relationships/hyperlink" Target="https://www.goldfields.com/pdf/investors/integrated-annual-reports/2023/iar-2023-lowres.pdf" TargetMode="External"/><Relationship Id="rId208" Type="http://schemas.openxmlformats.org/officeDocument/2006/relationships/hyperlink" Target="https://www.goldfields.com/pdf/investors/integrated-annual-reports/2023/iar-2023-lowres.pdf" TargetMode="External"/><Relationship Id="rId261" Type="http://schemas.openxmlformats.org/officeDocument/2006/relationships/hyperlink" Target="https://www.goldfields.com/pdf/investors/integrated-annual-reports/2023/gold-fields-report-to-stakeholders-2023.pdf" TargetMode="External"/><Relationship Id="rId14" Type="http://schemas.openxmlformats.org/officeDocument/2006/relationships/hyperlink" Target="https://www.goldfields.com/management-approaches.php" TargetMode="External"/><Relationship Id="rId56" Type="http://schemas.openxmlformats.org/officeDocument/2006/relationships/hyperlink" Target="http://www.goldfields.com/pdf/about-us/corporate-governance/policies/2022/gfl-updated-tax-policy.pdf" TargetMode="External"/><Relationship Id="rId317" Type="http://schemas.openxmlformats.org/officeDocument/2006/relationships/hyperlink" Target="https://www.goldfields.com/pdf/investors/integrated-annual-reports/2023/gold-fields-ccr-report-2023.pdf" TargetMode="External"/><Relationship Id="rId359" Type="http://schemas.openxmlformats.org/officeDocument/2006/relationships/hyperlink" Target="https://www.goldfields.com/supply-chain-risk-management.php" TargetMode="External"/><Relationship Id="rId98" Type="http://schemas.openxmlformats.org/officeDocument/2006/relationships/hyperlink" Target="https://www.goldfields.com/sustainability-overview.php" TargetMode="External"/><Relationship Id="rId121" Type="http://schemas.openxmlformats.org/officeDocument/2006/relationships/hyperlink" Target="https://www.goldfields.com/management-approaches.php" TargetMode="External"/><Relationship Id="rId163" Type="http://schemas.openxmlformats.org/officeDocument/2006/relationships/hyperlink" Target="https://www.goldfields.com/pdf/investors/integrated-annual-reports/2023/iar-2023-lowres.pdf" TargetMode="External"/><Relationship Id="rId219" Type="http://schemas.openxmlformats.org/officeDocument/2006/relationships/hyperlink" Target="https://www.goldfields.com/pdf/investors/integrated-annual-reports/2023/iar-2023-lowres.pdf" TargetMode="External"/><Relationship Id="rId370" Type="http://schemas.openxmlformats.org/officeDocument/2006/relationships/hyperlink" Target="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TargetMode="External"/><Relationship Id="rId230" Type="http://schemas.openxmlformats.org/officeDocument/2006/relationships/hyperlink" Target="https://www.goldfields.com/pdf/investors/integrated-annual-reports/2023/iar-2023-lowres.pdf" TargetMode="External"/><Relationship Id="rId25" Type="http://schemas.openxmlformats.org/officeDocument/2006/relationships/hyperlink" Target="https://www.goldfields.com/management-approaches.php" TargetMode="External"/><Relationship Id="rId67" Type="http://schemas.openxmlformats.org/officeDocument/2006/relationships/hyperlink" Target="https://www.goldfields.com/environment-tsf.php" TargetMode="External"/><Relationship Id="rId272" Type="http://schemas.openxmlformats.org/officeDocument/2006/relationships/hyperlink" Target="https://www.goldfields.com/pdf/investors/integrated-annual-reports/2023/gold-fields-report-to-stakeholders-2023.pdf" TargetMode="External"/><Relationship Id="rId328" Type="http://schemas.openxmlformats.org/officeDocument/2006/relationships/hyperlink" Target="https://www.goldfields.com/pdf/investors/integrated-annual-reports/2023/gold-fields-ccr-report-2023.pdf" TargetMode="External"/><Relationship Id="rId132" Type="http://schemas.openxmlformats.org/officeDocument/2006/relationships/hyperlink" Target="https://www.goldfields.com/guidelines.php" TargetMode="External"/><Relationship Id="rId174" Type="http://schemas.openxmlformats.org/officeDocument/2006/relationships/hyperlink" Target="https://www.goldfields.com/pdf/investors/integrated-annual-reports/2023/iar-2023-lowres.pdf" TargetMode="External"/><Relationship Id="rId381" Type="http://schemas.openxmlformats.org/officeDocument/2006/relationships/hyperlink" Target="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TargetMode="External"/><Relationship Id="rId241" Type="http://schemas.openxmlformats.org/officeDocument/2006/relationships/hyperlink" Target="https://www.goldfields.com/pdf/investors/integrated-annual-reports/2023/governance-and-remuneration-report-2023.pdf" TargetMode="External"/><Relationship Id="rId36" Type="http://schemas.openxmlformats.org/officeDocument/2006/relationships/hyperlink" Target="https://www.goldfields.com/operations.php" TargetMode="External"/><Relationship Id="rId283" Type="http://schemas.openxmlformats.org/officeDocument/2006/relationships/hyperlink" Target="https://www.goldfields.com/pdf/investors/integrated-annual-reports/2023/gold-fields-report-to-stakeholders-2023.pdf" TargetMode="External"/><Relationship Id="rId339" Type="http://schemas.openxmlformats.org/officeDocument/2006/relationships/hyperlink" Target="https://www.goldfields.com/pdf/investors/integrated-annual-reports/2023/afs-2023.pdf" TargetMode="External"/><Relationship Id="rId78" Type="http://schemas.openxmlformats.org/officeDocument/2006/relationships/hyperlink" Target="https://www.goldfields.com/sustainability-overview.php" TargetMode="External"/><Relationship Id="rId101" Type="http://schemas.openxmlformats.org/officeDocument/2006/relationships/hyperlink" Target="https://www.goldfields.com/management-approaches.php" TargetMode="External"/><Relationship Id="rId143" Type="http://schemas.openxmlformats.org/officeDocument/2006/relationships/hyperlink" Target="https://www.goldfields.com/pdf/investors/integrated-annual-reports/2023/iar-2023-lowres.pdf" TargetMode="External"/><Relationship Id="rId185" Type="http://schemas.openxmlformats.org/officeDocument/2006/relationships/hyperlink" Target="https://www.goldfields.com/pdf/investors/integrated-annual-reports/2023/iar-2023-lowres.pdf" TargetMode="External"/><Relationship Id="rId350" Type="http://schemas.openxmlformats.org/officeDocument/2006/relationships/hyperlink" Target="https://www.goldfields.com/management-approaches.php" TargetMode="External"/><Relationship Id="rId9" Type="http://schemas.openxmlformats.org/officeDocument/2006/relationships/hyperlink" Target="https://www.goldfields.com/management-approaches.php" TargetMode="External"/><Relationship Id="rId210" Type="http://schemas.openxmlformats.org/officeDocument/2006/relationships/hyperlink" Target="https://www.goldfields.com/pdf/investors/integrated-annual-reports/2023/iar-2023-lowres.pdf" TargetMode="External"/><Relationship Id="rId392" Type="http://schemas.openxmlformats.org/officeDocument/2006/relationships/hyperlink" Target="https://us-west-2.protection.sophos.com/?d=goldfields.com&amp;u=aHR0cHM6Ly93d3cuZ29sZGZpZWxkcy5jb20vcGRmL2Fib3V0LXVzL2NvcnBvcmF0ZS1nb3Zlcm5hbmNlL3BvbGljaWVzLzIwMjMvZGl2ZXJzaXR5LWVxdWl0eS1pbmNsdXNpb24tYW5kLWJlbG9uZ2luZy1wb2xpY3ktc3RhdGVtZW50LnBkZg==&amp;p=m&amp;i=NjJlOTdiODg4NzYxZjgxMTViOGRlMDY0&amp;t=SjV6U0N0WVhTQlc3RE15ZEgvTEVIZ0QyV2ErK1JZQ2lJTWZCbnNtOFNRbz0=&amp;h=f46f3eeb01714a849b5147fef008063f&amp;s=AVNPUEhUT0NFTkNSWVBUSVYbRGZ7Vt_I2OjXtFPvyyIk8l95d25osPCz0vxT0xWWnQ" TargetMode="External"/><Relationship Id="rId252" Type="http://schemas.openxmlformats.org/officeDocument/2006/relationships/hyperlink" Target="https://www.goldfields.com/pdf/investors/integrated-annual-reports/2023/governance-and-remuneration-report-2023.pdf" TargetMode="External"/><Relationship Id="rId294" Type="http://schemas.openxmlformats.org/officeDocument/2006/relationships/hyperlink" Target="https://www.goldfields.com/pdf/investors/integrated-annual-reports/2023/gold-fields-report-to-stakeholders-2023.pdf" TargetMode="External"/><Relationship Id="rId308" Type="http://schemas.openxmlformats.org/officeDocument/2006/relationships/hyperlink" Target="https://www.goldfields.com/pdf/investors/integrated-annual-reports/2023/gold-fields-ccr-report-2023.pdf" TargetMode="External"/><Relationship Id="rId47" Type="http://schemas.openxmlformats.org/officeDocument/2006/relationships/hyperlink" Target="https://www.goldfields.com/introduction-vision-and-overview.php" TargetMode="External"/><Relationship Id="rId89" Type="http://schemas.openxmlformats.org/officeDocument/2006/relationships/hyperlink" Target="https://www.goldfields.com/management-approaches.php" TargetMode="External"/><Relationship Id="rId112" Type="http://schemas.openxmlformats.org/officeDocument/2006/relationships/hyperlink" Target="https://www.goldfields.com/pdf/suppliers/australia/gfa-modern-slavery-statement-2021.pdf" TargetMode="External"/><Relationship Id="rId154" Type="http://schemas.openxmlformats.org/officeDocument/2006/relationships/hyperlink" Target="https://www.goldfields.com/pdf/investors/integrated-annual-reports/2023/iar-2023-lowres.pdf" TargetMode="External"/><Relationship Id="rId361" Type="http://schemas.openxmlformats.org/officeDocument/2006/relationships/hyperlink" Target="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TargetMode="External"/><Relationship Id="rId196" Type="http://schemas.openxmlformats.org/officeDocument/2006/relationships/hyperlink" Target="https://www.goldfields.com/pdf/investors/integrated-annual-reports/2023/iar-2023-lowres.pdf" TargetMode="External"/><Relationship Id="rId16" Type="http://schemas.openxmlformats.org/officeDocument/2006/relationships/hyperlink" Target="https://www.goldfields.com/code-of-conduct/index.php" TargetMode="External"/><Relationship Id="rId221" Type="http://schemas.openxmlformats.org/officeDocument/2006/relationships/hyperlink" Target="https://www.goldfields.com/pdf/investors/integrated-annual-reports/2023/iar-2023-lowres.pdf" TargetMode="External"/><Relationship Id="rId242" Type="http://schemas.openxmlformats.org/officeDocument/2006/relationships/hyperlink" Target="https://www.goldfields.com/pdf/investors/integrated-annual-reports/2023/governance-and-remuneration-report-2023.pdf" TargetMode="External"/><Relationship Id="rId263" Type="http://schemas.openxmlformats.org/officeDocument/2006/relationships/hyperlink" Target="https://www.goldfields.com/pdf/investors/integrated-annual-reports/2023/gold-fields-report-to-stakeholders-2023.pdf" TargetMode="External"/><Relationship Id="rId284" Type="http://schemas.openxmlformats.org/officeDocument/2006/relationships/hyperlink" Target="https://www.goldfields.com/pdf/investors/integrated-annual-reports/2023/gold-fields-report-to-stakeholders-2023.pdf" TargetMode="External"/><Relationship Id="rId319" Type="http://schemas.openxmlformats.org/officeDocument/2006/relationships/hyperlink" Target="https://www.goldfields.com/pdf/investors/integrated-annual-reports/2023/gold-fields-ccr-report-2023.pdf" TargetMode="External"/><Relationship Id="rId37" Type="http://schemas.openxmlformats.org/officeDocument/2006/relationships/hyperlink" Target="https://www.goldfields.com/sustainability-overview.php" TargetMode="External"/><Relationship Id="rId58" Type="http://schemas.openxmlformats.org/officeDocument/2006/relationships/hyperlink" Target="http://www.goldfields.com/pdf/about-us/corporate-governance/policies/2022/gfl-updated-tax-policy.pdf" TargetMode="External"/><Relationship Id="rId79" Type="http://schemas.openxmlformats.org/officeDocument/2006/relationships/hyperlink" Target="https://www.goldfields.com/water-stewardship.php" TargetMode="External"/><Relationship Id="rId102" Type="http://schemas.openxmlformats.org/officeDocument/2006/relationships/hyperlink" Target="https://www.goldfields.com/management-approaches.php" TargetMode="External"/><Relationship Id="rId123" Type="http://schemas.openxmlformats.org/officeDocument/2006/relationships/hyperlink" Target="https://www.goldfields.com/this-is-gold-fields.php" TargetMode="External"/><Relationship Id="rId144" Type="http://schemas.openxmlformats.org/officeDocument/2006/relationships/hyperlink" Target="https://www.goldfields.com/pdf/investors/integrated-annual-reports/2023/iar-2023-lowres.pdf" TargetMode="External"/><Relationship Id="rId330" Type="http://schemas.openxmlformats.org/officeDocument/2006/relationships/hyperlink" Target="https://www.goldfields.com/pdf/investors/integrated-annual-reports/2023/gold-fields-ccr-report-2023.pdf" TargetMode="External"/><Relationship Id="rId90" Type="http://schemas.openxmlformats.org/officeDocument/2006/relationships/hyperlink" Target="https://www.goldfields.com/sustainability-overview.php" TargetMode="External"/><Relationship Id="rId165" Type="http://schemas.openxmlformats.org/officeDocument/2006/relationships/hyperlink" Target="https://www.goldfields.com/pdf/investors/integrated-annual-reports/2023/iar-2023-lowres.pdf" TargetMode="External"/><Relationship Id="rId186" Type="http://schemas.openxmlformats.org/officeDocument/2006/relationships/hyperlink" Target="https://www.goldfields.com/pdf/investors/integrated-annual-reports/2023/iar-2023-lowres.pdf" TargetMode="External"/><Relationship Id="rId351" Type="http://schemas.openxmlformats.org/officeDocument/2006/relationships/hyperlink" Target="https://www.goldfields.com/pdf/investors/integrated-annual-reports/2023/gold-fields-ccr-report-2023.pdf" TargetMode="External"/><Relationship Id="rId372" Type="http://schemas.openxmlformats.org/officeDocument/2006/relationships/hyperlink" Target="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TargetMode="External"/><Relationship Id="rId393" Type="http://schemas.openxmlformats.org/officeDocument/2006/relationships/drawing" Target="../drawings/drawing2.xml"/><Relationship Id="rId211" Type="http://schemas.openxmlformats.org/officeDocument/2006/relationships/hyperlink" Target="https://www.goldfields.com/pdf/investors/integrated-annual-reports/2023/iar-2023-lowres.pdf" TargetMode="External"/><Relationship Id="rId232" Type="http://schemas.openxmlformats.org/officeDocument/2006/relationships/hyperlink" Target="https://www.goldfields.com/pdf/investors/integrated-annual-reports/2023/governance-and-remuneration-report-2023.pdf" TargetMode="External"/><Relationship Id="rId253" Type="http://schemas.openxmlformats.org/officeDocument/2006/relationships/hyperlink" Target="https://www.goldfields.com/pdf/investors/integrated-annual-reports/2023/governance-and-remuneration-report-2023.pdf" TargetMode="External"/><Relationship Id="rId274" Type="http://schemas.openxmlformats.org/officeDocument/2006/relationships/hyperlink" Target="https://www.goldfields.com/pdf/investors/integrated-annual-reports/2023/gold-fields-report-to-stakeholders-2023.pdf" TargetMode="External"/><Relationship Id="rId295" Type="http://schemas.openxmlformats.org/officeDocument/2006/relationships/hyperlink" Target="https://www.goldfields.com/pdf/investors/integrated-annual-reports/2023/gold-fields-report-to-stakeholders-2023.pdf" TargetMode="External"/><Relationship Id="rId309" Type="http://schemas.openxmlformats.org/officeDocument/2006/relationships/hyperlink" Target="https://www.goldfields.com/pdf/investors/integrated-annual-reports/2023/gold-fields-ccr-report-2023.pdf" TargetMode="External"/><Relationship Id="rId27" Type="http://schemas.openxmlformats.org/officeDocument/2006/relationships/hyperlink" Target="https://www.goldfields.com/investor-overview.php" TargetMode="External"/><Relationship Id="rId48" Type="http://schemas.openxmlformats.org/officeDocument/2006/relationships/hyperlink" Target="https://www.goldfields.com/management-approaches.php" TargetMode="External"/><Relationship Id="rId69" Type="http://schemas.openxmlformats.org/officeDocument/2006/relationships/hyperlink" Target="https://www.goldfields.com/sustainability-reporting.php" TargetMode="External"/><Relationship Id="rId113" Type="http://schemas.openxmlformats.org/officeDocument/2006/relationships/hyperlink" Target="https://www.goldfields.com/code-of-conduct.php" TargetMode="External"/><Relationship Id="rId134" Type="http://schemas.openxmlformats.org/officeDocument/2006/relationships/hyperlink" Target="https://www.goldfields.com/pdf/sustainbility/guidelines/community-relations-and-stakeholder-engagement/community-relations.pdf" TargetMode="External"/><Relationship Id="rId320" Type="http://schemas.openxmlformats.org/officeDocument/2006/relationships/hyperlink" Target="https://www.goldfields.com/pdf/investors/integrated-annual-reports/2023/gold-fields-ccr-report-2023.pdf" TargetMode="External"/><Relationship Id="rId80" Type="http://schemas.openxmlformats.org/officeDocument/2006/relationships/hyperlink" Target="https://www.goldfields.com/sustainability-overview.php" TargetMode="External"/><Relationship Id="rId155" Type="http://schemas.openxmlformats.org/officeDocument/2006/relationships/hyperlink" Target="https://www.goldfields.com/pdf/investors/integrated-annual-reports/2023/iar-2023-lowres.pdf" TargetMode="External"/><Relationship Id="rId176" Type="http://schemas.openxmlformats.org/officeDocument/2006/relationships/hyperlink" Target="https://www.goldfields.com/pdf/investors/integrated-annual-reports/2023/iar-2023-lowres.pdf" TargetMode="External"/><Relationship Id="rId197" Type="http://schemas.openxmlformats.org/officeDocument/2006/relationships/hyperlink" Target="https://www.goldfields.com/pdf/investors/integrated-annual-reports/2023/iar-2023-lowres.pdf" TargetMode="External"/><Relationship Id="rId341" Type="http://schemas.openxmlformats.org/officeDocument/2006/relationships/hyperlink" Target="https://www.goldfields.com/pdf/investors/integrated-annual-reports/2023/afs-2023.pdf" TargetMode="External"/><Relationship Id="rId362" Type="http://schemas.openxmlformats.org/officeDocument/2006/relationships/hyperlink" Target="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TargetMode="External"/><Relationship Id="rId383" Type="http://schemas.openxmlformats.org/officeDocument/2006/relationships/hyperlink" Target="https://www.goldfields.com/stakeholder-engagement.php" TargetMode="External"/><Relationship Id="rId201" Type="http://schemas.openxmlformats.org/officeDocument/2006/relationships/hyperlink" Target="https://www.goldfields.com/pdf/investors/integrated-annual-reports/2023/iar-2023-lowres.pdf" TargetMode="External"/><Relationship Id="rId222" Type="http://schemas.openxmlformats.org/officeDocument/2006/relationships/hyperlink" Target="https://www.goldfields.com/pdf/investors/integrated-annual-reports/2023/iar-2023-lowres.pdf" TargetMode="External"/><Relationship Id="rId243" Type="http://schemas.openxmlformats.org/officeDocument/2006/relationships/hyperlink" Target="https://www.goldfields.com/pdf/investors/integrated-annual-reports/2023/governance-and-remuneration-report-2023.pdf" TargetMode="External"/><Relationship Id="rId264" Type="http://schemas.openxmlformats.org/officeDocument/2006/relationships/hyperlink" Target="https://www.goldfields.com/pdf/investors/integrated-annual-reports/2023/gold-fields-report-to-stakeholders-2023.pdf" TargetMode="External"/><Relationship Id="rId285" Type="http://schemas.openxmlformats.org/officeDocument/2006/relationships/hyperlink" Target="https://www.goldfields.com/pdf/investors/integrated-annual-reports/2023/gold-fields-report-to-stakeholders-2023.pdf" TargetMode="External"/><Relationship Id="rId17" Type="http://schemas.openxmlformats.org/officeDocument/2006/relationships/hyperlink" Target="https://www.goldfields.com/" TargetMode="External"/><Relationship Id="rId38" Type="http://schemas.openxmlformats.org/officeDocument/2006/relationships/hyperlink" Target="https://www.goldfields.com/policies.php" TargetMode="External"/><Relationship Id="rId59" Type="http://schemas.openxmlformats.org/officeDocument/2006/relationships/hyperlink" Target="https://www.goldfields.com/pdf/about-us/corporate-governance/policies/2022/gfl-updated-tax-policy.pdf" TargetMode="External"/><Relationship Id="rId103" Type="http://schemas.openxmlformats.org/officeDocument/2006/relationships/hyperlink" Target="https://www.goldfields.com/working-at-goldfields.php" TargetMode="External"/><Relationship Id="rId124" Type="http://schemas.openxmlformats.org/officeDocument/2006/relationships/hyperlink" Target="https://www.goldfields.com/stakeholder-engagement.php" TargetMode="External"/><Relationship Id="rId310" Type="http://schemas.openxmlformats.org/officeDocument/2006/relationships/hyperlink" Target="https://www.goldfields.com/introduction-vision-and-overview.php" TargetMode="External"/><Relationship Id="rId70" Type="http://schemas.openxmlformats.org/officeDocument/2006/relationships/hyperlink" Target="https://www.goldfields.com/sustainability-performance.php" TargetMode="External"/><Relationship Id="rId91" Type="http://schemas.openxmlformats.org/officeDocument/2006/relationships/hyperlink" Target="https://www.goldfields.com/tailings-inventory-and-disclosure.php" TargetMode="External"/><Relationship Id="rId145" Type="http://schemas.openxmlformats.org/officeDocument/2006/relationships/hyperlink" Target="https://www.goldfields.com/pdf/investors/integrated-annual-reports/2023/iar-2023-lowres.pdf" TargetMode="External"/><Relationship Id="rId166" Type="http://schemas.openxmlformats.org/officeDocument/2006/relationships/hyperlink" Target="https://www.goldfields.com/pdf/investors/integrated-annual-reports/2023/iar-2023-lowres.pdf" TargetMode="External"/><Relationship Id="rId187" Type="http://schemas.openxmlformats.org/officeDocument/2006/relationships/hyperlink" Target="https://www.goldfields.com/pdf/investors/integrated-annual-reports/2023/iar-2023-lowres.pdf" TargetMode="External"/><Relationship Id="rId331" Type="http://schemas.openxmlformats.org/officeDocument/2006/relationships/hyperlink" Target="https://www.goldfields.com/pdf/investors/integrated-annual-reports/2023/gold-fields-ccr-report-2023.pdf" TargetMode="External"/><Relationship Id="rId352" Type="http://schemas.openxmlformats.org/officeDocument/2006/relationships/hyperlink" Target="https://www.goldfields.com/code-of-conduct/index.php" TargetMode="External"/><Relationship Id="rId373" Type="http://schemas.openxmlformats.org/officeDocument/2006/relationships/hyperlink" Target="https://www.goldfields.com/ethics-conduct-and-integrity.php" TargetMode="External"/><Relationship Id="rId1" Type="http://schemas.openxmlformats.org/officeDocument/2006/relationships/hyperlink" Target="https://www.goldfields.com/mine-overview.php" TargetMode="External"/><Relationship Id="rId212" Type="http://schemas.openxmlformats.org/officeDocument/2006/relationships/hyperlink" Target="https://www.goldfields.com/pdf/investors/integrated-annual-reports/2023/iar-2023-lowres.pdf" TargetMode="External"/><Relationship Id="rId233" Type="http://schemas.openxmlformats.org/officeDocument/2006/relationships/hyperlink" Target="https://www.goldfields.com/pdf/investors/integrated-annual-reports/2023/governance-and-remuneration-report-2023.pdf" TargetMode="External"/><Relationship Id="rId254" Type="http://schemas.openxmlformats.org/officeDocument/2006/relationships/hyperlink" Target="https://www.goldfields.com/pdf/investors/integrated-annual-reports/2023/gold-fields-report-to-stakeholders-2023.pdf" TargetMode="External"/><Relationship Id="rId28" Type="http://schemas.openxmlformats.org/officeDocument/2006/relationships/hyperlink" Target="https://www.goldfields.com/sustainability-overview.php" TargetMode="External"/><Relationship Id="rId49" Type="http://schemas.openxmlformats.org/officeDocument/2006/relationships/hyperlink" Target="https://www.goldfields.com/management-approaches.php" TargetMode="External"/><Relationship Id="rId114" Type="http://schemas.openxmlformats.org/officeDocument/2006/relationships/hyperlink" Target="https://www.goldfields.com/pdf/suppliers/introduction/values-and-code-summary-for-suppliers-and-contractors.pdf" TargetMode="External"/><Relationship Id="rId275" Type="http://schemas.openxmlformats.org/officeDocument/2006/relationships/hyperlink" Target="https://www.goldfields.com/pdf/investors/integrated-annual-reports/2023/gold-fields-report-to-stakeholders-2023.pdf" TargetMode="External"/><Relationship Id="rId296" Type="http://schemas.openxmlformats.org/officeDocument/2006/relationships/hyperlink" Target="https://www.goldfields.com/pdf/investors/integrated-annual-reports/2023/gold-fields-report-to-stakeholders-2023.pdf" TargetMode="External"/><Relationship Id="rId300" Type="http://schemas.openxmlformats.org/officeDocument/2006/relationships/hyperlink" Target="https://www.goldfields.com/pdf/investors/integrated-annual-reports/2023/gold-fields-report-to-stakeholders-2023.pdf" TargetMode="External"/><Relationship Id="rId60" Type="http://schemas.openxmlformats.org/officeDocument/2006/relationships/hyperlink" Target="http://www.goldfields.com/pdf/about-us/corporate-governance/policies/2022/gfl-updated-tax-policy.pdf" TargetMode="External"/><Relationship Id="rId81" Type="http://schemas.openxmlformats.org/officeDocument/2006/relationships/hyperlink" Target="https://www.goldfields.com/environment.php" TargetMode="External"/><Relationship Id="rId135" Type="http://schemas.openxmlformats.org/officeDocument/2006/relationships/hyperlink" Target="https://www.goldfields.com/management-approaches.php" TargetMode="External"/><Relationship Id="rId156" Type="http://schemas.openxmlformats.org/officeDocument/2006/relationships/hyperlink" Target="https://www.goldfields.com/pdf/investors/integrated-annual-reports/2023/iar-2023-lowres.pdf" TargetMode="External"/><Relationship Id="rId177" Type="http://schemas.openxmlformats.org/officeDocument/2006/relationships/hyperlink" Target="https://www.goldfields.com/pdf/investors/integrated-annual-reports/2023/iar-2023-lowres.pdf" TargetMode="External"/><Relationship Id="rId198" Type="http://schemas.openxmlformats.org/officeDocument/2006/relationships/hyperlink" Target="https://www.goldfields.com/pdf/investors/integrated-annual-reports/2023/iar-2023-lowres.pdf" TargetMode="External"/><Relationship Id="rId321" Type="http://schemas.openxmlformats.org/officeDocument/2006/relationships/hyperlink" Target="https://www.goldfields.com/pdf/investors/integrated-annual-reports/2023/gold-fields-ccr-report-2023.pdf" TargetMode="External"/><Relationship Id="rId342" Type="http://schemas.openxmlformats.org/officeDocument/2006/relationships/hyperlink" Target="https://www.goldfields.com/pdf/investors/integrated-annual-reports/2023/iar-2023-lowres.pdf" TargetMode="External"/><Relationship Id="rId363" Type="http://schemas.openxmlformats.org/officeDocument/2006/relationships/hyperlink" Target="https://us-west-2.protection.sophos.com/?d=goldfields.com&amp;u=aHR0cHM6Ly93d3cuZ29sZGZpZWxkcy5jb20vcGRmL2Fib3V0LXVzL2NvcnBvcmF0ZS1nb3Zlcm5hbmNlL3BvbGljaWVzLzIwMjQvZ2ZsLXBvbGljeS1tYXRlcmlhbHMtc3VwcGx5LWNoYWluLXN0ZXdhcmRzaGlwLnBkZg==&amp;p=m&amp;i=NjJlOTdiODg4NzYxZjgxMTViOGRlMDY0&amp;t=N0lWSkg4bXVrRGR3MzdrL0dhMCsway9nekJCVnludzF5T0xhdHB2TnBQcz0=&amp;h=dc6aec071d944bef89248a9657962175&amp;s=AVNPUEhUT0NFTkNSWVBUSVYbRGZ7Vt_I2OjXtFPvyyIk8l95d25osPCz0vxT0xWWnQ" TargetMode="External"/><Relationship Id="rId384" Type="http://schemas.openxmlformats.org/officeDocument/2006/relationships/hyperlink" Target="https://www.goldfields.com/pdf/about-us/corporategovernance/policies/stakeholder-relationship-andengagement-policy-statement-august-2021.pdf" TargetMode="External"/><Relationship Id="rId202" Type="http://schemas.openxmlformats.org/officeDocument/2006/relationships/hyperlink" Target="https://www.goldfields.com/pdf/investors/integrated-annual-reports/2023/iar-2023-lowres.pdf" TargetMode="External"/><Relationship Id="rId223" Type="http://schemas.openxmlformats.org/officeDocument/2006/relationships/hyperlink" Target="https://www.goldfields.com/pdf/investors/integrated-annual-reports/2023/iar-2023-lowres.pdf" TargetMode="External"/><Relationship Id="rId244" Type="http://schemas.openxmlformats.org/officeDocument/2006/relationships/hyperlink" Target="https://www.goldfields.com/pdf/investors/integrated-annual-reports/2023/governance-and-remuneration-report-2023.pdf" TargetMode="External"/><Relationship Id="rId18" Type="http://schemas.openxmlformats.org/officeDocument/2006/relationships/hyperlink" Target="https://www.goldfields.com/sustainability-overview.php" TargetMode="External"/><Relationship Id="rId39" Type="http://schemas.openxmlformats.org/officeDocument/2006/relationships/hyperlink" Target="https://www.goldfields.com/standards-and-principles.php" TargetMode="External"/><Relationship Id="rId265" Type="http://schemas.openxmlformats.org/officeDocument/2006/relationships/hyperlink" Target="https://www.goldfields.com/pdf/investors/integrated-annual-reports/2023/gold-fields-report-to-stakeholders-2023.pdf" TargetMode="External"/><Relationship Id="rId286" Type="http://schemas.openxmlformats.org/officeDocument/2006/relationships/hyperlink" Target="https://www.goldfields.com/pdf/investors/integrated-annual-reports/2023/gold-fields-report-to-stakeholders-2023.pdf" TargetMode="External"/><Relationship Id="rId50" Type="http://schemas.openxmlformats.org/officeDocument/2006/relationships/hyperlink" Target="https://www.goldfields.com/management-approaches.php" TargetMode="External"/><Relationship Id="rId104" Type="http://schemas.openxmlformats.org/officeDocument/2006/relationships/hyperlink" Target="https://www.goldfields.com/training-and-development.php" TargetMode="External"/><Relationship Id="rId125" Type="http://schemas.openxmlformats.org/officeDocument/2006/relationships/hyperlink" Target="https://www.goldfields.com/code-of-conduct.php" TargetMode="External"/><Relationship Id="rId146" Type="http://schemas.openxmlformats.org/officeDocument/2006/relationships/hyperlink" Target="https://www.goldfields.com/pdf/investors/integrated-annual-reports/2023/iar-2023-lowres.pdf" TargetMode="External"/><Relationship Id="rId167" Type="http://schemas.openxmlformats.org/officeDocument/2006/relationships/hyperlink" Target="https://www.goldfields.com/pdf/investors/integrated-annual-reports/2023/iar-2023-lowres.pdf" TargetMode="External"/><Relationship Id="rId188" Type="http://schemas.openxmlformats.org/officeDocument/2006/relationships/hyperlink" Target="https://www.goldfields.com/pdf/investors/integrated-annual-reports/2023/iar-2023-lowres.pdf" TargetMode="External"/><Relationship Id="rId311" Type="http://schemas.openxmlformats.org/officeDocument/2006/relationships/hyperlink" Target="https://www.goldfields.com/pdf/investors/integrated-annual-reports/2023/gold-fields-ccr-report-2023.pdf" TargetMode="External"/><Relationship Id="rId332" Type="http://schemas.openxmlformats.org/officeDocument/2006/relationships/hyperlink" Target="https://www.goldfields.com/pdf/investors/integrated-annual-reports/2023/gold-fields-report-to-stakeholders-2023.pdf" TargetMode="External"/><Relationship Id="rId353" Type="http://schemas.openxmlformats.org/officeDocument/2006/relationships/hyperlink" Target="https://www.goldfields.com/working-at-goldfields.php" TargetMode="External"/><Relationship Id="rId374" Type="http://schemas.openxmlformats.org/officeDocument/2006/relationships/hyperlink" Target="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TargetMode="External"/><Relationship Id="rId71" Type="http://schemas.openxmlformats.org/officeDocument/2006/relationships/hyperlink" Target="https://www.goldfields.com/pdf/about-us/corporate-governance/policies/2022/materials-supply-chain-stewardship-policy-statement.pdf" TargetMode="External"/><Relationship Id="rId92" Type="http://schemas.openxmlformats.org/officeDocument/2006/relationships/hyperlink" Target="https://www.goldfields.com/management-approaches.php" TargetMode="External"/><Relationship Id="rId213" Type="http://schemas.openxmlformats.org/officeDocument/2006/relationships/hyperlink" Target="https://www.goldfields.com/pdf/investors/integrated-annual-reports/2023/iar-2023-lowres.pdf" TargetMode="External"/><Relationship Id="rId234" Type="http://schemas.openxmlformats.org/officeDocument/2006/relationships/hyperlink" Target="https://www.goldfields.com/pdf/investors/integrated-annual-reports/2023/governance-and-remuneration-report-2023.pdf" TargetMode="External"/><Relationship Id="rId2" Type="http://schemas.openxmlformats.org/officeDocument/2006/relationships/hyperlink" Target="https://www.goldfields.com/executive-directors.php" TargetMode="External"/><Relationship Id="rId29" Type="http://schemas.openxmlformats.org/officeDocument/2006/relationships/hyperlink" Target="https://www.goldfields.com/this-is-gold-fields.php" TargetMode="External"/><Relationship Id="rId255" Type="http://schemas.openxmlformats.org/officeDocument/2006/relationships/hyperlink" Target="https://www.goldfields.com/pdf/investors/integrated-annual-reports/2023/gold-fields-report-to-stakeholders-2023.pdf" TargetMode="External"/><Relationship Id="rId276" Type="http://schemas.openxmlformats.org/officeDocument/2006/relationships/hyperlink" Target="https://www.goldfields.com/pdf/investors/integrated-annual-reports/2023/gold-fields-report-to-stakeholders-2023.pdf" TargetMode="External"/><Relationship Id="rId297" Type="http://schemas.openxmlformats.org/officeDocument/2006/relationships/hyperlink" Target="https://www.goldfields.com/pdf/investors/integrated-annual-reports/2023/gold-fields-report-to-stakeholders-2023.pdf" TargetMode="External"/><Relationship Id="rId40" Type="http://schemas.openxmlformats.org/officeDocument/2006/relationships/hyperlink" Target="https://www.goldfields.com/management-approaches.php" TargetMode="External"/><Relationship Id="rId115" Type="http://schemas.openxmlformats.org/officeDocument/2006/relationships/hyperlink" Target="https://www.goldfields.com/management-approaches.php" TargetMode="External"/><Relationship Id="rId136" Type="http://schemas.openxmlformats.org/officeDocument/2006/relationships/hyperlink" Target="https://www.goldfields.com/pdf/suppliers/introduction/2023/supplier-code-of-business-conduct.pdf" TargetMode="External"/><Relationship Id="rId157" Type="http://schemas.openxmlformats.org/officeDocument/2006/relationships/hyperlink" Target="https://www.goldfields.com/pdf/investors/integrated-annual-reports/2023/iar-2023-lowres.pdf" TargetMode="External"/><Relationship Id="rId178" Type="http://schemas.openxmlformats.org/officeDocument/2006/relationships/hyperlink" Target="https://www.goldfields.com/pdf/investors/integrated-annual-reports/2023/iar-2023-lowres.pdf" TargetMode="External"/><Relationship Id="rId301" Type="http://schemas.openxmlformats.org/officeDocument/2006/relationships/hyperlink" Target="https://www.goldfields.com/pdf/investors/integrated-annual-reports/2023/gold-fields-report-to-stakeholders-2023.pdf" TargetMode="External"/><Relationship Id="rId322" Type="http://schemas.openxmlformats.org/officeDocument/2006/relationships/hyperlink" Target="https://www.goldfields.com/pdf/investors/integrated-annual-reports/2023/gold-fields-ccr-report-2023.pdf" TargetMode="External"/><Relationship Id="rId343" Type="http://schemas.openxmlformats.org/officeDocument/2006/relationships/hyperlink" Target="https://www.goldfields.com/pdf/investors/integrated-annual-reports/2023/gold-fields-ccr-report-2023.pdf" TargetMode="External"/><Relationship Id="rId364" Type="http://schemas.openxmlformats.org/officeDocument/2006/relationships/hyperlink" Target="https://us-west-2.protection.sophos.com/?d=goldfields.com&amp;u=aHR0cHM6Ly93d3cuZ29sZGZpZWxkcy5jb20vcGRmL2Fib3V0LXVzL2NvcnBvcmF0ZS1nb3Zlcm5hbmNlL3BvbGljaWVzLzIwMjQvZ2ZsLXBvbGljeS1jbGltYXRlLWNoYW5nZS5wZGY=&amp;p=m&amp;i=NjJlOTdiODg4NzYxZjgxMTViOGRlMDY0&amp;t=eWRQc01GQThZSkg5SjlRVDZ1aTk0NEEzS1FveTVCWDA3ZWl1MXRrb3JhRT0=&amp;h=dc6aec071d944bef89248a9657962175&amp;s=AVNPUEhUT0NFTkNSWVBUSVYbRGZ7Vt_I2OjXtFPvyyIk8l95d25osPCz0vxT0xWWnQ" TargetMode="External"/><Relationship Id="rId61" Type="http://schemas.openxmlformats.org/officeDocument/2006/relationships/hyperlink" Target="https://www.goldfields.com/pdf/about-us/corporate-governance/policies/2022/gfl-updated-tax-policy.pdf" TargetMode="External"/><Relationship Id="rId82" Type="http://schemas.openxmlformats.org/officeDocument/2006/relationships/hyperlink" Target="https://www.goldfields.com/environment.php" TargetMode="External"/><Relationship Id="rId199" Type="http://schemas.openxmlformats.org/officeDocument/2006/relationships/hyperlink" Target="https://www.goldfields.com/pdf/investors/integrated-annual-reports/2023/iar-2023-lowres.pdf" TargetMode="External"/><Relationship Id="rId203" Type="http://schemas.openxmlformats.org/officeDocument/2006/relationships/hyperlink" Target="https://www.goldfields.com/pdf/investors/integrated-annual-reports/2023/iar-2023-lowres.pdf" TargetMode="External"/><Relationship Id="rId385" Type="http://schemas.openxmlformats.org/officeDocument/2006/relationships/hyperlink" Target="https://us-west-2.protection.sophos.com/?d=goldfields.com&amp;u=aHR0cHM6Ly93d3cuZ29sZGZpZWxkcy5jb20vcGRmL2Fib3V0LXVzL2NvcnBvcmF0ZS1nb3Zlcm5hbmNlL3BvbGljaWVzLzIwMjQvZ2ZsLXBvbGljeS1zdXN0YWluYWJsZS1kZXYucGRm&amp;p=m&amp;i=NjJlOTdiODg4NzYxZjgxMTViOGRlMDY0&amp;t=K0h1bkFqcE5kZ2tONGJHWHFFcE9mcngvU2ExanU2OWh3QjcxU2xnNmFXTT0=&amp;h=7184ef4bef6c4523961593f41db74f40&amp;s=AVNPUEhUT0NFTkNSWVBUSVYbRGZ7Vt_I2OjXtFPvyyIk8l95d25osPCz0vxT0xWWnQ" TargetMode="External"/><Relationship Id="rId19" Type="http://schemas.openxmlformats.org/officeDocument/2006/relationships/hyperlink" Target="https://www.goldfields.com/management-approaches.php" TargetMode="External"/><Relationship Id="rId224" Type="http://schemas.openxmlformats.org/officeDocument/2006/relationships/hyperlink" Target="https://www.goldfields.com/pdf/investors/integrated-annual-reports/2023/iar-2023-lowres.pdf" TargetMode="External"/><Relationship Id="rId245" Type="http://schemas.openxmlformats.org/officeDocument/2006/relationships/hyperlink" Target="https://www.goldfields.com/pdf/investors/integrated-annual-reports/2023/governance-and-remuneration-report-2023.pdf" TargetMode="External"/><Relationship Id="rId266" Type="http://schemas.openxmlformats.org/officeDocument/2006/relationships/hyperlink" Target="https://www.goldfields.com/pdf/investors/integrated-annual-reports/2023/gold-fields-report-to-stakeholders-2023.pdf" TargetMode="External"/><Relationship Id="rId287" Type="http://schemas.openxmlformats.org/officeDocument/2006/relationships/hyperlink" Target="https://www.goldfields.com/pdf/investors/integrated-annual-reports/2023/gold-fields-report-to-stakeholders-2023.pdf" TargetMode="External"/><Relationship Id="rId30" Type="http://schemas.openxmlformats.org/officeDocument/2006/relationships/hyperlink" Target="https://www.goldfields.com/stakeholder-engagement.php" TargetMode="External"/><Relationship Id="rId105" Type="http://schemas.openxmlformats.org/officeDocument/2006/relationships/hyperlink" Target="https://www.goldfields.com/management-approaches.php" TargetMode="External"/><Relationship Id="rId126" Type="http://schemas.openxmlformats.org/officeDocument/2006/relationships/hyperlink" Target="https://www.goldfields.com/sustainability-overview.php" TargetMode="External"/><Relationship Id="rId147" Type="http://schemas.openxmlformats.org/officeDocument/2006/relationships/hyperlink" Target="https://www.goldfields.com/pdf/investors/integrated-annual-reports/2023/iar-2023-lowres.pdf" TargetMode="External"/><Relationship Id="rId168" Type="http://schemas.openxmlformats.org/officeDocument/2006/relationships/hyperlink" Target="https://www.goldfields.com/pdf/investors/integrated-annual-reports/2023/iar-2023-lowres.pdf" TargetMode="External"/><Relationship Id="rId312" Type="http://schemas.openxmlformats.org/officeDocument/2006/relationships/hyperlink" Target="https://www.goldfields.com/pdf/investors/integrated-annual-reports/2023/gold-fields-ccr-report-2023.pdf" TargetMode="External"/><Relationship Id="rId333" Type="http://schemas.openxmlformats.org/officeDocument/2006/relationships/hyperlink" Target="https://www.goldfields.com/pdf/investors/integrated-annual-reports/2023/afs-2023.pdf" TargetMode="External"/><Relationship Id="rId354" Type="http://schemas.openxmlformats.org/officeDocument/2006/relationships/hyperlink" Target="https://www.goldfields.com/supply-chain-risk-management.php" TargetMode="External"/><Relationship Id="rId51" Type="http://schemas.openxmlformats.org/officeDocument/2006/relationships/hyperlink" Target="https://www.goldfields.com/management-approaches.php" TargetMode="External"/><Relationship Id="rId72" Type="http://schemas.openxmlformats.org/officeDocument/2006/relationships/hyperlink" Target="https://www.goldfields.com/management-approaches.php" TargetMode="External"/><Relationship Id="rId93" Type="http://schemas.openxmlformats.org/officeDocument/2006/relationships/hyperlink" Target="https://www.goldfields.com/management-approaches.php" TargetMode="External"/><Relationship Id="rId189" Type="http://schemas.openxmlformats.org/officeDocument/2006/relationships/hyperlink" Target="https://www.goldfields.com/pdf/investors/integrated-annual-reports/2023/iar-2023-lowres.pdf" TargetMode="External"/><Relationship Id="rId375" Type="http://schemas.openxmlformats.org/officeDocument/2006/relationships/hyperlink" Target="https://www.goldfields.com/code-of-conduct.php" TargetMode="External"/><Relationship Id="rId3" Type="http://schemas.openxmlformats.org/officeDocument/2006/relationships/hyperlink" Target="https://www.goldfields.com/pdf/investors/integrated-annual-reports/2023/gold-fields-agm-2023.pdf" TargetMode="External"/><Relationship Id="rId214" Type="http://schemas.openxmlformats.org/officeDocument/2006/relationships/hyperlink" Target="https://www.goldfields.com/pdf/investors/integrated-annual-reports/2023/iar-2023-lowres.pdf" TargetMode="External"/><Relationship Id="rId235" Type="http://schemas.openxmlformats.org/officeDocument/2006/relationships/hyperlink" Target="https://www.goldfields.com/pdf/investors/integrated-annual-reports/2023/governance-and-remuneration-report-2023.pdf" TargetMode="External"/><Relationship Id="rId256" Type="http://schemas.openxmlformats.org/officeDocument/2006/relationships/hyperlink" Target="https://www.goldfields.com/pdf/investors/integrated-annual-reports/2023/gold-fields-report-to-stakeholders-2023.pdf" TargetMode="External"/><Relationship Id="rId277" Type="http://schemas.openxmlformats.org/officeDocument/2006/relationships/hyperlink" Target="https://www.goldfields.com/pdf/investors/integrated-annual-reports/2023/gold-fields-report-to-stakeholders-2023.pdf" TargetMode="External"/><Relationship Id="rId298" Type="http://schemas.openxmlformats.org/officeDocument/2006/relationships/hyperlink" Target="https://www.goldfields.com/pdf/investors/integrated-annual-reports/2023/gold-fields-report-to-stakeholders-2023.pdf" TargetMode="External"/><Relationship Id="rId116" Type="http://schemas.openxmlformats.org/officeDocument/2006/relationships/hyperlink" Target="https://www.goldfields.com/management-approaches.php" TargetMode="External"/><Relationship Id="rId137" Type="http://schemas.openxmlformats.org/officeDocument/2006/relationships/hyperlink" Target="https://www.goldfields.com/management-approaches.php" TargetMode="External"/><Relationship Id="rId158" Type="http://schemas.openxmlformats.org/officeDocument/2006/relationships/hyperlink" Target="https://www.goldfields.com/pdf/investors/integrated-annual-reports/2023/iar-2023-lowres.pdf" TargetMode="External"/><Relationship Id="rId302" Type="http://schemas.openxmlformats.org/officeDocument/2006/relationships/hyperlink" Target="https://www.goldfields.com/pdf/investors/integrated-annual-reports/2023/gold-fields-report-to-stakeholders-2023.pdf" TargetMode="External"/><Relationship Id="rId323" Type="http://schemas.openxmlformats.org/officeDocument/2006/relationships/hyperlink" Target="https://www.goldfields.com/pdf/investors/integrated-annual-reports/2023/gold-fields-ccr-report-2023.pdf" TargetMode="External"/><Relationship Id="rId344" Type="http://schemas.openxmlformats.org/officeDocument/2006/relationships/hyperlink" Target="https://www.goldfields.com/pdf/investors/integrated-annual-reports/2023/governance-and-remuneration-report-2023.pdf" TargetMode="External"/><Relationship Id="rId20" Type="http://schemas.openxmlformats.org/officeDocument/2006/relationships/hyperlink" Target="https://www.goldfields.com/risk-materiality.php" TargetMode="External"/><Relationship Id="rId41" Type="http://schemas.openxmlformats.org/officeDocument/2006/relationships/hyperlink" Target="https://www.goldfields.com/pdf/sustainbility/guidelines/community-relations-and-stakeholder-engagement/community-relations.pdf" TargetMode="External"/><Relationship Id="rId62" Type="http://schemas.openxmlformats.org/officeDocument/2006/relationships/hyperlink" Target="https://www.goldfields.com/sustainability-reporting.php" TargetMode="External"/><Relationship Id="rId83" Type="http://schemas.openxmlformats.org/officeDocument/2006/relationships/hyperlink" Target="https://www.goldfields.com/management-approaches.php" TargetMode="External"/><Relationship Id="rId179" Type="http://schemas.openxmlformats.org/officeDocument/2006/relationships/hyperlink" Target="https://www.goldfields.com/pdf/investors/integrated-annual-reports/2023/iar-2023-lowres.pdf" TargetMode="External"/><Relationship Id="rId365" Type="http://schemas.openxmlformats.org/officeDocument/2006/relationships/hyperlink" Target="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dc6aec071d944bef89248a9657962175&amp;s=AVNPUEhUT0NFTkNSWVBUSVYbRGZ7Vt_I2OjXtFPvyyIk8l95d25osPCz0vxT0xWWnQ" TargetMode="External"/><Relationship Id="rId386" Type="http://schemas.openxmlformats.org/officeDocument/2006/relationships/hyperlink" Target="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7184ef4bef6c4523961593f41db74f40&amp;s=AVNPUEhUT0NFTkNSWVBUSVYbRGZ7Vt_I2OjXtFPvyyIk8l95d25osPCz0vxT0xWWnQ" TargetMode="External"/><Relationship Id="rId190" Type="http://schemas.openxmlformats.org/officeDocument/2006/relationships/hyperlink" Target="https://www.goldfields.com/pdf/investors/integrated-annual-reports/2023/iar-2023-lowres.pdf" TargetMode="External"/><Relationship Id="rId204" Type="http://schemas.openxmlformats.org/officeDocument/2006/relationships/hyperlink" Target="https://www.goldfields.com/pdf/investors/integrated-annual-reports/2023/iar-2023-lowres.pdf" TargetMode="External"/><Relationship Id="rId225" Type="http://schemas.openxmlformats.org/officeDocument/2006/relationships/hyperlink" Target="https://www.goldfields.com/pdf/investors/integrated-annual-reports/2023/iar-2023-lowres.pdf" TargetMode="External"/><Relationship Id="rId246" Type="http://schemas.openxmlformats.org/officeDocument/2006/relationships/hyperlink" Target="https://www.goldfields.com/pdf/investors/integrated-annual-reports/2023/governance-and-remuneration-report-2023.pdf" TargetMode="External"/><Relationship Id="rId267" Type="http://schemas.openxmlformats.org/officeDocument/2006/relationships/hyperlink" Target="https://www.goldfields.com/pdf/investors/integrated-annual-reports/2023/gold-fields-report-to-stakeholders-2023.pdf" TargetMode="External"/><Relationship Id="rId288" Type="http://schemas.openxmlformats.org/officeDocument/2006/relationships/hyperlink" Target="https://www.goldfields.com/pdf/investors/integrated-annual-reports/2023/gold-fields-report-to-stakeholders-2023.pdf" TargetMode="External"/><Relationship Id="rId106" Type="http://schemas.openxmlformats.org/officeDocument/2006/relationships/hyperlink" Target="https://www.goldfields.com/code-of-conduct.php" TargetMode="External"/><Relationship Id="rId127" Type="http://schemas.openxmlformats.org/officeDocument/2006/relationships/hyperlink" Target="https://www.goldfields.com/policies.php" TargetMode="External"/><Relationship Id="rId313" Type="http://schemas.openxmlformats.org/officeDocument/2006/relationships/hyperlink" Target="https://www.goldfields.com/pdf/investors/integrated-annual-reports/2023/gold-fields-ccr-report-2023.pdf" TargetMode="External"/><Relationship Id="rId10" Type="http://schemas.openxmlformats.org/officeDocument/2006/relationships/hyperlink" Target="https://www.goldfields.com/code-of-conduct/index.php" TargetMode="External"/><Relationship Id="rId31" Type="http://schemas.openxmlformats.org/officeDocument/2006/relationships/hyperlink" Target="https://www.goldfields.com/mine-overview.php" TargetMode="External"/><Relationship Id="rId52" Type="http://schemas.openxmlformats.org/officeDocument/2006/relationships/hyperlink" Target="http://www.goldfields.com/pdf/about-us/corporate-governance/policies/2022/gfl-updated-tax-policy.pdf" TargetMode="External"/><Relationship Id="rId73" Type="http://schemas.openxmlformats.org/officeDocument/2006/relationships/hyperlink" Target="https://www.goldfields.com/pdf/investors/integrated-annual-reports/2023/gold-fields-ccr-report-2023.pdf" TargetMode="External"/><Relationship Id="rId94" Type="http://schemas.openxmlformats.org/officeDocument/2006/relationships/hyperlink" Target="https://www.goldfields.com/supplier-resources.php" TargetMode="External"/><Relationship Id="rId148" Type="http://schemas.openxmlformats.org/officeDocument/2006/relationships/hyperlink" Target="https://www.goldfields.com/pdf/investors/integrated-annual-reports/2023/iar-2023-lowres.pdf" TargetMode="External"/><Relationship Id="rId169" Type="http://schemas.openxmlformats.org/officeDocument/2006/relationships/hyperlink" Target="https://www.goldfields.com/pdf/investors/integrated-annual-reports/2023/iar-2023-lowres.pdf" TargetMode="External"/><Relationship Id="rId334" Type="http://schemas.openxmlformats.org/officeDocument/2006/relationships/hyperlink" Target="https://www.goldfields.com/pdf/investors/integrated-annual-reports/2023/afs-2023.pdf" TargetMode="External"/><Relationship Id="rId355" Type="http://schemas.openxmlformats.org/officeDocument/2006/relationships/hyperlink" Target="https://www.goldfields.com/supply-chain-risk-management.php" TargetMode="External"/><Relationship Id="rId376" Type="http://schemas.openxmlformats.org/officeDocument/2006/relationships/hyperlink" Target="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TargetMode="External"/><Relationship Id="rId4" Type="http://schemas.openxmlformats.org/officeDocument/2006/relationships/hyperlink" Target="https://www.goldfields.com/management-approaches.php" TargetMode="External"/><Relationship Id="rId180" Type="http://schemas.openxmlformats.org/officeDocument/2006/relationships/hyperlink" Target="https://www.goldfields.com/pdf/investors/integrated-annual-reports/2023/iar-2023-lowres.pdf" TargetMode="External"/><Relationship Id="rId215" Type="http://schemas.openxmlformats.org/officeDocument/2006/relationships/hyperlink" Target="https://www.goldfields.com/pdf/investors/integrated-annual-reports/2023/iar-2023-lowres.pdf" TargetMode="External"/><Relationship Id="rId236" Type="http://schemas.openxmlformats.org/officeDocument/2006/relationships/hyperlink" Target="https://www.goldfields.com/pdf/investors/integrated-annual-reports/2023/governance-and-remuneration-report-2023.pdf" TargetMode="External"/><Relationship Id="rId257" Type="http://schemas.openxmlformats.org/officeDocument/2006/relationships/hyperlink" Target="https://www.goldfields.com/pdf/investors/integrated-annual-reports/2023/gold-fields-report-to-stakeholders-2023.pdf" TargetMode="External"/><Relationship Id="rId278" Type="http://schemas.openxmlformats.org/officeDocument/2006/relationships/hyperlink" Target="https://www.goldfields.com/pdf/investors/integrated-annual-reports/2023/gold-fields-report-to-stakeholders-2023.pdf" TargetMode="External"/><Relationship Id="rId303" Type="http://schemas.openxmlformats.org/officeDocument/2006/relationships/hyperlink" Target="https://www.goldfields.com/pdf/investors/integrated-annual-reports/2023/gold-fields-report-to-stakeholders-2023.pdf" TargetMode="External"/><Relationship Id="rId42" Type="http://schemas.openxmlformats.org/officeDocument/2006/relationships/hyperlink" Target="https://www.goldfields.com/sustainability-overview.php" TargetMode="External"/><Relationship Id="rId84" Type="http://schemas.openxmlformats.org/officeDocument/2006/relationships/hyperlink" Target="https://www.goldfields.com/management-approaches.php" TargetMode="External"/><Relationship Id="rId138" Type="http://schemas.openxmlformats.org/officeDocument/2006/relationships/hyperlink" Target="https://www.goldfields.com/sustainability-overview.php" TargetMode="External"/><Relationship Id="rId345" Type="http://schemas.openxmlformats.org/officeDocument/2006/relationships/hyperlink" Target="https://www.goldfields.com/pdf/investors/integrated-annual-reports/2023/iar-2023-lowres.pdf" TargetMode="External"/><Relationship Id="rId387" Type="http://schemas.openxmlformats.org/officeDocument/2006/relationships/hyperlink" Target="https://us-west-2.protection.sophos.com/?d=goldfields.com&amp;u=aHR0cHM6Ly93d3cuZ29sZGZpZWxkcy5jb20vd2FzdGUtbWFuYWdlbWVudC5waHA=&amp;p=m&amp;i=NjJlOTdiODg4NzYxZjgxMTViOGRlMDY0&amp;t=WnBWWmJDOG9zbGg2WTVqUmJCYTdZQzNDTDVzV1Q5dlhCSTNqTE1QeVZGVT0=&amp;h=7184ef4bef6c4523961593f41db74f40&amp;s=AVNPUEhUT0NFTkNSWVBUSVYbRGZ7Vt_I2OjXtFPvyyIk8l95d25osPCz0vxT0xWWnQ" TargetMode="External"/><Relationship Id="rId191" Type="http://schemas.openxmlformats.org/officeDocument/2006/relationships/hyperlink" Target="https://www.goldfields.com/pdf/investors/integrated-annual-reports/2023/iar-2023-lowres.pdf" TargetMode="External"/><Relationship Id="rId205" Type="http://schemas.openxmlformats.org/officeDocument/2006/relationships/hyperlink" Target="https://www.goldfields.com/pdf/investors/integrated-annual-reports/2023/iar-2023-lowres.pdf" TargetMode="External"/><Relationship Id="rId247" Type="http://schemas.openxmlformats.org/officeDocument/2006/relationships/hyperlink" Target="https://www.goldfields.com/pdf/investors/integrated-annual-reports/2023/governance-and-remuneration-report-2023.pdf" TargetMode="External"/><Relationship Id="rId107" Type="http://schemas.openxmlformats.org/officeDocument/2006/relationships/hyperlink" Target="https://www.goldfields.com/pdf/about-us/corporate-governance/policies/2023/respectful-workplace-policy-statement.pdf" TargetMode="External"/><Relationship Id="rId289" Type="http://schemas.openxmlformats.org/officeDocument/2006/relationships/hyperlink" Target="https://www.goldfields.com/pdf/investors/integrated-annual-reports/2023/gold-fields-report-to-stakeholders-2023.pdf" TargetMode="External"/><Relationship Id="rId11" Type="http://schemas.openxmlformats.org/officeDocument/2006/relationships/hyperlink" Target="https://www.goldfields.com/management-approaches.php" TargetMode="External"/><Relationship Id="rId53" Type="http://schemas.openxmlformats.org/officeDocument/2006/relationships/hyperlink" Target="https://www.goldfields.com/pdf/about-us/corporate-governance/policies/2022/gfl-updated-tax-policy.pdf" TargetMode="External"/><Relationship Id="rId149" Type="http://schemas.openxmlformats.org/officeDocument/2006/relationships/hyperlink" Target="https://www.goldfields.com/pdf/investors/integrated-annual-reports/2023/iar-2023-lowres.pdf" TargetMode="External"/><Relationship Id="rId314" Type="http://schemas.openxmlformats.org/officeDocument/2006/relationships/hyperlink" Target="https://www.goldfields.com/pdf/investors/integrated-annual-reports/2023/gold-fields-ccr-report-2023.pdf" TargetMode="External"/><Relationship Id="rId356" Type="http://schemas.openxmlformats.org/officeDocument/2006/relationships/hyperlink" Target="https://www.goldfields.com/supply-chain-risk-management.php" TargetMode="External"/><Relationship Id="rId95" Type="http://schemas.openxmlformats.org/officeDocument/2006/relationships/hyperlink" Target="https://www.goldfields.com/management-approaches.php" TargetMode="External"/><Relationship Id="rId160" Type="http://schemas.openxmlformats.org/officeDocument/2006/relationships/hyperlink" Target="https://www.goldfields.com/pdf/investors/integrated-annual-reports/2023/iar-2023-lowres.pdf" TargetMode="External"/><Relationship Id="rId216" Type="http://schemas.openxmlformats.org/officeDocument/2006/relationships/hyperlink" Target="https://www.goldfields.com/pdf/investors/integrated-annual-reports/2023/iar-2023-lowres.pdf" TargetMode="External"/><Relationship Id="rId258" Type="http://schemas.openxmlformats.org/officeDocument/2006/relationships/hyperlink" Target="https://www.goldfields.com/pdf/investors/integrated-annual-reports/2023/gold-fields-report-to-stakeholders-2023.pdf" TargetMode="External"/><Relationship Id="rId22" Type="http://schemas.openxmlformats.org/officeDocument/2006/relationships/hyperlink" Target="https://www.goldfields.com/code-of-conduct.php" TargetMode="External"/><Relationship Id="rId64" Type="http://schemas.openxmlformats.org/officeDocument/2006/relationships/hyperlink" Target="https://www.goldfields.com/management-approaches.php" TargetMode="External"/><Relationship Id="rId118" Type="http://schemas.openxmlformats.org/officeDocument/2006/relationships/hyperlink" Target="https://www.goldfields.com/this-is-gold-fields.php" TargetMode="External"/><Relationship Id="rId325" Type="http://schemas.openxmlformats.org/officeDocument/2006/relationships/hyperlink" Target="https://www.goldfields.com/pdf/investors/integrated-annual-reports/2023/gold-fields-ccr-report-2023.pdf" TargetMode="External"/><Relationship Id="rId367" Type="http://schemas.openxmlformats.org/officeDocument/2006/relationships/hyperlink" Target="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TargetMode="External"/><Relationship Id="rId171" Type="http://schemas.openxmlformats.org/officeDocument/2006/relationships/hyperlink" Target="https://www.goldfields.com/pdf/investors/integrated-annual-reports/2023/iar-2023-lowres.pdf" TargetMode="External"/><Relationship Id="rId227" Type="http://schemas.openxmlformats.org/officeDocument/2006/relationships/hyperlink" Target="https://www.goldfields.com/pdf/investors/integrated-annual-reports/2023/iar-2023-lowres.pdf" TargetMode="External"/><Relationship Id="rId269" Type="http://schemas.openxmlformats.org/officeDocument/2006/relationships/hyperlink" Target="https://www.goldfields.com/pdf/investors/integrated-annual-reports/2023/gold-fields-report-to-stakeholders-2023.pdf" TargetMode="External"/><Relationship Id="rId33" Type="http://schemas.openxmlformats.org/officeDocument/2006/relationships/hyperlink" Target="https://www.goldfields.com/sustainability-overview.php" TargetMode="External"/><Relationship Id="rId129" Type="http://schemas.openxmlformats.org/officeDocument/2006/relationships/hyperlink" Target="https://www.goldfields.com/management-approaches.php" TargetMode="External"/><Relationship Id="rId280" Type="http://schemas.openxmlformats.org/officeDocument/2006/relationships/hyperlink" Target="https://www.goldfields.com/pdf/investors/integrated-annual-reports/2023/gold-fields-report-to-stakeholders-2023.pdf" TargetMode="External"/><Relationship Id="rId336" Type="http://schemas.openxmlformats.org/officeDocument/2006/relationships/hyperlink" Target="https://www.goldfields.com/pdf/investors/integrated-annual-reports/2023/afs-2023.pdf" TargetMode="External"/><Relationship Id="rId75" Type="http://schemas.openxmlformats.org/officeDocument/2006/relationships/hyperlink" Target="https://www.goldfields.com/sustainability-overview.php" TargetMode="External"/><Relationship Id="rId140" Type="http://schemas.openxmlformats.org/officeDocument/2006/relationships/hyperlink" Target="https://www.goldfields.com/pdf/investors/integrated-annual-reports/2023/iar-2023-lowres.pdf" TargetMode="External"/><Relationship Id="rId182" Type="http://schemas.openxmlformats.org/officeDocument/2006/relationships/hyperlink" Target="https://www.goldfields.com/pdf/investors/integrated-annual-reports/2023/iar-2023-lowres.pdf" TargetMode="External"/><Relationship Id="rId378" Type="http://schemas.openxmlformats.org/officeDocument/2006/relationships/hyperlink" Target="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TargetMode="External"/><Relationship Id="rId6" Type="http://schemas.openxmlformats.org/officeDocument/2006/relationships/hyperlink" Target="https://www.goldfields.com/standards-and-principles.php" TargetMode="External"/><Relationship Id="rId238" Type="http://schemas.openxmlformats.org/officeDocument/2006/relationships/hyperlink" Target="https://www.goldfields.com/pdf/investors/integrated-annual-reports/2023/governance-and-remuneration-report-2023.pdf" TargetMode="External"/><Relationship Id="rId291" Type="http://schemas.openxmlformats.org/officeDocument/2006/relationships/hyperlink" Target="https://www.goldfields.com/pdf/investors/integrated-annual-reports/2023/gold-fields-report-to-stakeholders-2023.pdf" TargetMode="External"/><Relationship Id="rId305" Type="http://schemas.openxmlformats.org/officeDocument/2006/relationships/hyperlink" Target="https://www.goldfields.com/pdf/investors/integrated-annual-reports/2023/gold-fields-report-to-stakeholders-2023.pdf" TargetMode="External"/><Relationship Id="rId347" Type="http://schemas.openxmlformats.org/officeDocument/2006/relationships/hyperlink" Target="https://www.goldfields.com/sustainability-data.php" TargetMode="External"/><Relationship Id="rId44" Type="http://schemas.openxmlformats.org/officeDocument/2006/relationships/hyperlink" Target="https://www.goldfields.com/standards-and-principles.php" TargetMode="External"/><Relationship Id="rId86" Type="http://schemas.openxmlformats.org/officeDocument/2006/relationships/hyperlink" Target="https://www.goldfields.com/pdf/investors/integrated-annual-reports/2023/gold-fields-ccr-report-2023.pdf" TargetMode="External"/><Relationship Id="rId151" Type="http://schemas.openxmlformats.org/officeDocument/2006/relationships/hyperlink" Target="https://www.goldfields.com/pdf/investors/integrated-annual-reports/2023/iar-2023-lowres.pdf" TargetMode="External"/><Relationship Id="rId389" Type="http://schemas.openxmlformats.org/officeDocument/2006/relationships/hyperlink" Target="https://us-west-2.protection.sophos.com/?d=goldfields.com&amp;u=aHR0cHM6Ly93d3cuZ29sZGZpZWxkcy5jb20vd2FzdGUtbWFuYWdlbWVudC5waHA=&amp;p=m&amp;i=NjJlOTdiODg4NzYxZjgxMTViOGRlMDY0&amp;t=WnBWWmJDOG9zbGg2WTVqUmJCYTdZQzNDTDVzV1Q5dlhCSTNqTE1QeVZGVT0=&amp;h=7184ef4bef6c4523961593f41db74f40&amp;s=AVNPUEhUT0NFTkNSWVBUSVYbRGZ7Vt_I2OjXtFPvyyIk8l95d25osPCz0vxT0xWWnQ" TargetMode="External"/><Relationship Id="rId193" Type="http://schemas.openxmlformats.org/officeDocument/2006/relationships/hyperlink" Target="https://www.goldfields.com/pdf/investors/integrated-annual-reports/2023/iar-2023-lowres.pdf" TargetMode="External"/><Relationship Id="rId207" Type="http://schemas.openxmlformats.org/officeDocument/2006/relationships/hyperlink" Target="https://www.goldfields.com/pdf/investors/integrated-annual-reports/2023/iar-2023-lowres.pdf" TargetMode="External"/><Relationship Id="rId249" Type="http://schemas.openxmlformats.org/officeDocument/2006/relationships/hyperlink" Target="https://www.goldfields.com/pdf/investors/integrated-annual-reports/2023/governance-and-remuneration-report-2023.pdf" TargetMode="External"/><Relationship Id="rId13" Type="http://schemas.openxmlformats.org/officeDocument/2006/relationships/hyperlink" Target="https://www.goldfields.com/management-approaches.php" TargetMode="External"/><Relationship Id="rId109" Type="http://schemas.openxmlformats.org/officeDocument/2006/relationships/hyperlink" Target="https://www.goldfields.com/ethics-conduct-and-integrity.php" TargetMode="External"/><Relationship Id="rId260" Type="http://schemas.openxmlformats.org/officeDocument/2006/relationships/hyperlink" Target="https://www.goldfields.com/pdf/investors/integrated-annual-reports/2023/gold-fields-report-to-stakeholders-2023.pdf" TargetMode="External"/><Relationship Id="rId316" Type="http://schemas.openxmlformats.org/officeDocument/2006/relationships/hyperlink" Target="https://www.goldfields.com/pdf/investors/integrated-annual-reports/2023/gold-fields-ccr-report-2023.pdf" TargetMode="External"/><Relationship Id="rId55" Type="http://schemas.openxmlformats.org/officeDocument/2006/relationships/hyperlink" Target="https://www.goldfields.com/pdf/about-us/corporate-governance/policies/2022/gfl-updated-tax-policy.pdf" TargetMode="External"/><Relationship Id="rId97" Type="http://schemas.openxmlformats.org/officeDocument/2006/relationships/hyperlink" Target="https://www.goldfields.com/management-approaches.php" TargetMode="External"/><Relationship Id="rId120" Type="http://schemas.openxmlformats.org/officeDocument/2006/relationships/hyperlink" Target="https://www.goldfields.com/code-of-conduct.php" TargetMode="External"/><Relationship Id="rId358" Type="http://schemas.openxmlformats.org/officeDocument/2006/relationships/hyperlink" Target="https://www.goldfields.com/supply-chain-risk-management.php" TargetMode="External"/><Relationship Id="rId162" Type="http://schemas.openxmlformats.org/officeDocument/2006/relationships/hyperlink" Target="https://www.goldfields.com/pdf/investors/integrated-annual-reports/2023/iar-2023-lowres.pdf" TargetMode="External"/><Relationship Id="rId218" Type="http://schemas.openxmlformats.org/officeDocument/2006/relationships/hyperlink" Target="https://www.goldfields.com/pdf/investors/integrated-annual-reports/2023/iar-2023-lowres.pdf" TargetMode="External"/><Relationship Id="rId271" Type="http://schemas.openxmlformats.org/officeDocument/2006/relationships/hyperlink" Target="https://www.goldfields.com/pdf/investors/integrated-annual-reports/2023/gold-fields-report-to-stakeholders-2023.pdf" TargetMode="External"/><Relationship Id="rId24" Type="http://schemas.openxmlformats.org/officeDocument/2006/relationships/hyperlink" Target="https://www.goldfields.com/stakeholder-engagement.php" TargetMode="External"/><Relationship Id="rId66" Type="http://schemas.openxmlformats.org/officeDocument/2006/relationships/hyperlink" Target="https://www.goldfields.com/environment-tsf.php" TargetMode="External"/><Relationship Id="rId131" Type="http://schemas.openxmlformats.org/officeDocument/2006/relationships/hyperlink" Target="https://www.goldfields.com/management-approaches.php" TargetMode="External"/><Relationship Id="rId327" Type="http://schemas.openxmlformats.org/officeDocument/2006/relationships/hyperlink" Target="https://www.goldfields.com/pdf/investors/integrated-annual-reports/2023/gold-fields-ccr-report-2023.pdf" TargetMode="External"/><Relationship Id="rId369" Type="http://schemas.openxmlformats.org/officeDocument/2006/relationships/hyperlink" Target="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TargetMode="External"/><Relationship Id="rId173" Type="http://schemas.openxmlformats.org/officeDocument/2006/relationships/hyperlink" Target="https://www.goldfields.com/pdf/investors/integrated-annual-reports/2023/iar-2023-lowres.pdf" TargetMode="External"/><Relationship Id="rId229" Type="http://schemas.openxmlformats.org/officeDocument/2006/relationships/hyperlink" Target="https://www.goldfields.com/pdf/investors/integrated-annual-reports/2023/iar-2023-lowres.pdf" TargetMode="External"/><Relationship Id="rId380" Type="http://schemas.openxmlformats.org/officeDocument/2006/relationships/hyperlink" Target="https://www.goldfields.com/stakeholder-engagement.php" TargetMode="External"/><Relationship Id="rId240" Type="http://schemas.openxmlformats.org/officeDocument/2006/relationships/hyperlink" Target="https://www.goldfields.com/pdf/investors/integrated-annual-reports/2023/governance-and-remuneration-report-2023.pdf" TargetMode="External"/><Relationship Id="rId35" Type="http://schemas.openxmlformats.org/officeDocument/2006/relationships/hyperlink" Target="https://www.goldfields.com/sustainability-overview.php" TargetMode="External"/><Relationship Id="rId77" Type="http://schemas.openxmlformats.org/officeDocument/2006/relationships/hyperlink" Target="https://www.goldfields.com/water-stewardship.php" TargetMode="External"/><Relationship Id="rId100" Type="http://schemas.openxmlformats.org/officeDocument/2006/relationships/hyperlink" Target="https://www.goldfields.com/sustainability-overview.php" TargetMode="External"/><Relationship Id="rId282" Type="http://schemas.openxmlformats.org/officeDocument/2006/relationships/hyperlink" Target="https://www.goldfields.com/pdf/investors/integrated-annual-reports/2023/gold-fields-report-to-stakeholders-2023.pdf" TargetMode="External"/><Relationship Id="rId338" Type="http://schemas.openxmlformats.org/officeDocument/2006/relationships/hyperlink" Target="https://www.goldfields.com/pdf/investors/integrated-annual-reports/2023/afs-2023.pdf" TargetMode="External"/><Relationship Id="rId8" Type="http://schemas.openxmlformats.org/officeDocument/2006/relationships/hyperlink" Target="https://www.goldfields.com/our-commitment.php" TargetMode="External"/><Relationship Id="rId142" Type="http://schemas.openxmlformats.org/officeDocument/2006/relationships/hyperlink" Target="https://www.goldfields.com/pdf/investors/integrated-annual-reports/2023/iar-2023-lowres.pdf" TargetMode="External"/><Relationship Id="rId184" Type="http://schemas.openxmlformats.org/officeDocument/2006/relationships/hyperlink" Target="https://www.goldfields.com/pdf/investors/integrated-annual-reports/2023/iar-2023-lowres.pdf" TargetMode="External"/><Relationship Id="rId391" Type="http://schemas.openxmlformats.org/officeDocument/2006/relationships/hyperlink" Target="https://us-west-2.protection.sophos.com/?d=goldfields.com&amp;u=aHR0cHM6Ly93d3cuZ29sZGZpZWxkcy5jb20vcGRmL2Fib3V0LXVzL2NvcnBvcmF0ZS1nb3Zlcm5hbmNlL3BvbGljaWVzLzIwMjMvZGl2ZXJzaXR5LWVxdWl0eS1pbmNsdXNpb24tYW5kLWJlbG9uZ2luZy1wb2xpY3ktc3RhdGVtZW50LnBkZg==&amp;p=m&amp;i=NjJlOTdiODg4NzYxZjgxMTViOGRlMDY0&amp;t=SjV6U0N0WVhTQlc3RE15ZEgvTEVIZ0QyV2ErK1JZQ2lJTWZCbnNtOFNRbz0=&amp;h=f46f3eeb01714a849b5147fef008063f&amp;s=AVNPUEhUT0NFTkNSWVBUSVYbRGZ7Vt_I2OjXtFPvyyIk8l95d25osPCz0vxT0xWWnQ" TargetMode="External"/><Relationship Id="rId251" Type="http://schemas.openxmlformats.org/officeDocument/2006/relationships/hyperlink" Target="https://www.goldfields.com/pdf/investors/integrated-annual-reports/2023/governance-and-remuneration-report-2023.pdf" TargetMode="External"/><Relationship Id="rId46" Type="http://schemas.openxmlformats.org/officeDocument/2006/relationships/hyperlink" Target="https://www.goldfields.com/pdf/sustainbility/guidelines/community-relations-and-stakeholder-engagement/community-relations.pdf" TargetMode="External"/><Relationship Id="rId293" Type="http://schemas.openxmlformats.org/officeDocument/2006/relationships/hyperlink" Target="https://www.goldfields.com/pdf/investors/integrated-annual-reports/2023/gold-fields-report-to-stakeholders-2023.pdf" TargetMode="External"/><Relationship Id="rId307" Type="http://schemas.openxmlformats.org/officeDocument/2006/relationships/hyperlink" Target="https://www.goldfields.com/pdf/investors/integrated-annual-reports/2023/gold-fields-ccr-report-2023.pdf" TargetMode="External"/><Relationship Id="rId349" Type="http://schemas.openxmlformats.org/officeDocument/2006/relationships/hyperlink" Target="https://www.goldfields.com/pdf/investors/integrated-annual-reports/2023/gold-fields-ccr-report-2023.pdf" TargetMode="External"/><Relationship Id="rId88" Type="http://schemas.openxmlformats.org/officeDocument/2006/relationships/hyperlink" Target="https://www.goldfields.com/sustainability-overview.php" TargetMode="External"/><Relationship Id="rId111" Type="http://schemas.openxmlformats.org/officeDocument/2006/relationships/hyperlink" Target="https://www.goldfields.com/pdf/suppliers/introduction/values-and-code-summary-for-suppliers-and-contractors.pdf" TargetMode="External"/><Relationship Id="rId153" Type="http://schemas.openxmlformats.org/officeDocument/2006/relationships/hyperlink" Target="https://www.goldfields.com/pdf/investors/integrated-annual-reports/2023/iar-2023-lowres.pdf" TargetMode="External"/><Relationship Id="rId195" Type="http://schemas.openxmlformats.org/officeDocument/2006/relationships/hyperlink" Target="https://www.goldfields.com/pdf/investors/integrated-annual-reports/2023/iar-2023-lowres.pdf" TargetMode="External"/><Relationship Id="rId209" Type="http://schemas.openxmlformats.org/officeDocument/2006/relationships/hyperlink" Target="https://www.goldfields.com/pdf/investors/integrated-annual-reports/2023/iar-2023-lowres.pdf" TargetMode="External"/><Relationship Id="rId360" Type="http://schemas.openxmlformats.org/officeDocument/2006/relationships/hyperlink" Target="https://www.goldfields.com/supply-chain-risk-management.php" TargetMode="External"/><Relationship Id="rId220" Type="http://schemas.openxmlformats.org/officeDocument/2006/relationships/hyperlink" Target="https://www.goldfields.com/pdf/investors/integrated-annual-reports/2023/iar-2023-lowres.pdf" TargetMode="External"/><Relationship Id="rId15" Type="http://schemas.openxmlformats.org/officeDocument/2006/relationships/hyperlink" Target="https://www.goldfields.com/stakeholder-engagement.php" TargetMode="External"/><Relationship Id="rId57" Type="http://schemas.openxmlformats.org/officeDocument/2006/relationships/hyperlink" Target="https://www.goldfields.com/pdf/about-us/corporate-governance/policies/2022/gfl-updated-tax-policy.pdf" TargetMode="External"/><Relationship Id="rId262" Type="http://schemas.openxmlformats.org/officeDocument/2006/relationships/hyperlink" Target="https://www.goldfields.com/pdf/investors/integrated-annual-reports/2023/gold-fields-report-to-stakeholders-2023.pdf" TargetMode="External"/><Relationship Id="rId318" Type="http://schemas.openxmlformats.org/officeDocument/2006/relationships/hyperlink" Target="https://www.goldfields.com/pdf/investors/integrated-annual-reports/2023/gold-fields-ccr-report-2023.pdf" TargetMode="External"/><Relationship Id="rId99" Type="http://schemas.openxmlformats.org/officeDocument/2006/relationships/hyperlink" Target="https://www.goldfields.com/management-approaches.php" TargetMode="External"/><Relationship Id="rId122" Type="http://schemas.openxmlformats.org/officeDocument/2006/relationships/hyperlink" Target="https://www.goldfields.com/management-approaches.php" TargetMode="External"/><Relationship Id="rId164" Type="http://schemas.openxmlformats.org/officeDocument/2006/relationships/hyperlink" Target="https://www.goldfields.com/pdf/investors/integrated-annual-reports/2023/iar-2023-lowres.pdf" TargetMode="External"/><Relationship Id="rId371" Type="http://schemas.openxmlformats.org/officeDocument/2006/relationships/hyperlink" Target="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TargetMode="External"/><Relationship Id="rId26" Type="http://schemas.openxmlformats.org/officeDocument/2006/relationships/hyperlink" Target="https://www.goldfields.com/management-approaches.php" TargetMode="External"/><Relationship Id="rId231" Type="http://schemas.openxmlformats.org/officeDocument/2006/relationships/hyperlink" Target="https://www.goldfields.com/pdf/investors/integrated-annual-reports/2023/iar-2023-lowres.pdf" TargetMode="External"/><Relationship Id="rId273" Type="http://schemas.openxmlformats.org/officeDocument/2006/relationships/hyperlink" Target="https://www.goldfields.com/pdf/investors/integrated-annual-reports/2023/gold-fields-report-to-stakeholders-2023.pdf" TargetMode="External"/><Relationship Id="rId329" Type="http://schemas.openxmlformats.org/officeDocument/2006/relationships/hyperlink" Target="https://www.goldfields.com/pdf/investors/integrated-annual-reports/2023/gold-fields-ccr-report-2023.pdf" TargetMode="External"/><Relationship Id="rId68" Type="http://schemas.openxmlformats.org/officeDocument/2006/relationships/hyperlink" Target="https://www.goldfields.com/waste-management.php" TargetMode="External"/><Relationship Id="rId133" Type="http://schemas.openxmlformats.org/officeDocument/2006/relationships/hyperlink" Target="https://www.goldfields.com/pdf/sustainbility/guidelines/community-relations-and-stakeholder-engagement/community-relations.pdf" TargetMode="External"/><Relationship Id="rId175" Type="http://schemas.openxmlformats.org/officeDocument/2006/relationships/hyperlink" Target="https://www.goldfields.com/pdf/investors/integrated-annual-reports/2023/iar-2023-lowres.pdf" TargetMode="External"/><Relationship Id="rId340" Type="http://schemas.openxmlformats.org/officeDocument/2006/relationships/hyperlink" Target="https://www.goldfields.com/pdf/investors/integrated-annual-reports/2023/afs-2023.pdf" TargetMode="External"/><Relationship Id="rId200" Type="http://schemas.openxmlformats.org/officeDocument/2006/relationships/hyperlink" Target="https://www.goldfields.com/pdf/investors/integrated-annual-reports/2023/iar-2023-lowres.pdf" TargetMode="External"/><Relationship Id="rId382" Type="http://schemas.openxmlformats.org/officeDocument/2006/relationships/hyperlink" Target="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dc6aec071d944bef89248a9657962175&amp;s=AVNPUEhUT0NFTkNSWVBUSVYbRGZ7Vt_I2OjXtFPvyyIk8l95d25osPCz0vxT0xWWnQ"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3"/>
  <sheetViews>
    <sheetView showGridLines="0" tabSelected="1" showRuler="0" topLeftCell="A2" workbookViewId="0">
      <selection activeCell="A13" sqref="A13"/>
    </sheetView>
  </sheetViews>
  <sheetFormatPr baseColWidth="10" defaultColWidth="12.83203125" defaultRowHeight="13"/>
  <cols>
    <col min="1" max="1" width="25.5" customWidth="1"/>
    <col min="2" max="20" width="9" customWidth="1"/>
  </cols>
  <sheetData>
    <row r="1" spans="1:20" s="685" customFormat="1" ht="409" customHeight="1">
      <c r="A1" s="684" t="s">
        <v>1617</v>
      </c>
    </row>
    <row r="2" spans="1:20" s="685" customFormat="1" ht="409" customHeight="1"/>
    <row r="3" spans="1:20" ht="60" customHeight="1"/>
    <row r="4" spans="1:20" ht="9" customHeight="1">
      <c r="A4" s="2"/>
      <c r="B4" s="3"/>
      <c r="C4" s="3"/>
      <c r="D4" s="3"/>
      <c r="E4" s="3"/>
      <c r="F4" s="3"/>
      <c r="G4" s="3"/>
      <c r="H4" s="3"/>
      <c r="I4" s="3"/>
      <c r="J4" s="3"/>
      <c r="K4" s="3"/>
      <c r="L4" s="3"/>
      <c r="M4" s="3"/>
      <c r="N4" s="3"/>
      <c r="O4" s="3"/>
      <c r="P4" s="3"/>
      <c r="Q4" s="3"/>
      <c r="R4" s="3"/>
      <c r="S4" s="3"/>
      <c r="T4" s="3"/>
    </row>
    <row r="5" spans="1:20" ht="46.75" customHeight="1">
      <c r="A5" s="686" t="s">
        <v>0</v>
      </c>
      <c r="B5" s="686"/>
      <c r="C5" s="686"/>
      <c r="D5" s="686"/>
      <c r="E5" s="686"/>
      <c r="F5" s="686"/>
      <c r="G5" s="686"/>
      <c r="H5" s="686"/>
      <c r="I5" s="686"/>
      <c r="J5" s="686"/>
      <c r="K5" s="686"/>
      <c r="L5" s="686"/>
      <c r="M5" s="686"/>
      <c r="N5" s="686"/>
      <c r="O5" s="686"/>
      <c r="P5" s="686"/>
      <c r="Q5" s="686"/>
      <c r="R5" s="686"/>
      <c r="S5" s="686"/>
      <c r="T5" s="686"/>
    </row>
    <row r="6" spans="1:20" ht="46.75" customHeight="1">
      <c r="A6" s="686" t="s">
        <v>1</v>
      </c>
      <c r="B6" s="686"/>
      <c r="C6" s="686"/>
      <c r="D6" s="686"/>
      <c r="E6" s="686"/>
      <c r="F6" s="686"/>
      <c r="G6" s="686"/>
      <c r="H6" s="686"/>
      <c r="I6" s="686"/>
      <c r="J6" s="686"/>
      <c r="K6" s="4"/>
      <c r="L6" s="4"/>
      <c r="M6" s="4"/>
      <c r="N6" s="4"/>
      <c r="O6" s="4"/>
      <c r="P6" s="4"/>
      <c r="Q6" s="4"/>
      <c r="R6" s="4"/>
      <c r="S6" s="4"/>
      <c r="T6" s="4"/>
    </row>
    <row r="7" spans="1:20" ht="46.75" customHeight="1">
      <c r="A7" s="686" t="s">
        <v>2</v>
      </c>
      <c r="B7" s="686"/>
      <c r="C7" s="686"/>
      <c r="D7" s="686"/>
      <c r="E7" s="686"/>
      <c r="F7" s="686"/>
      <c r="G7" s="686"/>
      <c r="H7" s="686"/>
      <c r="I7" s="686"/>
      <c r="J7" s="686"/>
      <c r="K7" s="4"/>
      <c r="L7" s="4"/>
      <c r="M7" s="4"/>
      <c r="N7" s="4"/>
      <c r="O7" s="4"/>
      <c r="P7" s="4"/>
      <c r="Q7" s="4"/>
      <c r="R7" s="4"/>
      <c r="S7" s="4"/>
      <c r="T7" s="4"/>
    </row>
    <row r="8" spans="1:20" ht="13" customHeight="1">
      <c r="A8" s="686" t="s">
        <v>1589</v>
      </c>
      <c r="B8" s="686"/>
      <c r="C8" s="686"/>
      <c r="D8" s="686"/>
      <c r="E8" s="686"/>
      <c r="F8" s="686"/>
      <c r="G8" s="686"/>
      <c r="H8" s="686"/>
      <c r="I8" s="686"/>
      <c r="J8" s="501"/>
      <c r="K8" s="4"/>
      <c r="L8" s="4"/>
      <c r="M8" s="4"/>
      <c r="N8" s="4"/>
      <c r="O8" s="4"/>
      <c r="P8" s="4"/>
      <c r="Q8" s="4"/>
      <c r="R8" s="4"/>
      <c r="S8" s="4"/>
      <c r="T8" s="4"/>
    </row>
    <row r="9" spans="1:20" ht="46.75" customHeight="1">
      <c r="A9" s="688" t="s">
        <v>1590</v>
      </c>
      <c r="B9" s="689"/>
      <c r="C9" s="689"/>
      <c r="D9" s="689"/>
      <c r="E9" s="689"/>
      <c r="F9" s="689"/>
      <c r="G9" s="689"/>
      <c r="H9" s="689"/>
      <c r="I9" s="689"/>
      <c r="J9" s="689"/>
      <c r="K9" s="4"/>
      <c r="L9" s="4"/>
      <c r="M9" s="4"/>
      <c r="N9" s="4"/>
      <c r="O9" s="4"/>
      <c r="P9" s="4"/>
      <c r="Q9" s="4"/>
      <c r="R9" s="4"/>
      <c r="S9" s="4"/>
      <c r="T9" s="4"/>
    </row>
    <row r="10" spans="1:20" ht="32.5" customHeight="1">
      <c r="A10" s="687" t="s">
        <v>3</v>
      </c>
      <c r="B10" s="685"/>
      <c r="C10" s="685"/>
      <c r="D10" s="685"/>
      <c r="E10" s="685"/>
      <c r="F10" s="685"/>
      <c r="G10" s="685"/>
      <c r="H10" s="685"/>
      <c r="I10" s="685"/>
      <c r="J10" s="685"/>
      <c r="K10" s="5"/>
      <c r="L10" s="5"/>
      <c r="M10" s="5"/>
      <c r="N10" s="5"/>
      <c r="O10" s="5"/>
      <c r="P10" s="5"/>
      <c r="Q10" s="5"/>
      <c r="R10" s="5"/>
      <c r="S10" s="5"/>
      <c r="T10" s="5"/>
    </row>
    <row r="11" spans="1:20" ht="46.75" hidden="1" customHeight="1">
      <c r="A11" s="687" t="s">
        <v>4</v>
      </c>
      <c r="B11" s="685"/>
      <c r="C11" s="685"/>
      <c r="D11" s="685"/>
      <c r="E11" s="685"/>
      <c r="F11" s="685"/>
      <c r="G11" s="685"/>
      <c r="H11" s="685"/>
      <c r="I11" s="685"/>
      <c r="J11" s="685"/>
      <c r="L11" s="3"/>
      <c r="M11" s="3"/>
      <c r="N11" s="3"/>
      <c r="O11" s="3"/>
      <c r="P11" s="3"/>
      <c r="Q11" s="3"/>
      <c r="R11" s="3"/>
      <c r="S11" s="3"/>
      <c r="T11" s="3"/>
    </row>
    <row r="12" spans="1:20" ht="23.25" customHeight="1">
      <c r="A12" s="687" t="s">
        <v>1624</v>
      </c>
      <c r="B12" s="685"/>
      <c r="C12" s="685"/>
      <c r="D12" s="685"/>
      <c r="E12" s="685"/>
      <c r="F12" s="685"/>
      <c r="G12" s="685"/>
      <c r="H12" s="685"/>
      <c r="I12" s="685"/>
      <c r="J12" s="685"/>
      <c r="K12" s="3"/>
      <c r="L12" s="3"/>
      <c r="M12" s="3"/>
      <c r="N12" s="3"/>
      <c r="O12" s="3"/>
      <c r="P12" s="3"/>
      <c r="Q12" s="3"/>
      <c r="R12" s="3"/>
      <c r="S12" s="3"/>
      <c r="T12" s="3"/>
    </row>
    <row r="13" spans="1:20" ht="20.75" customHeight="1">
      <c r="A13" s="516" t="s">
        <v>1718</v>
      </c>
    </row>
    <row r="14" spans="1:20" ht="49.25" customHeight="1">
      <c r="A14" s="1"/>
    </row>
    <row r="15" spans="1:20" ht="33.25" customHeight="1">
      <c r="A15" s="1"/>
    </row>
    <row r="16" spans="1:20" ht="35.75" customHeight="1">
      <c r="A16" s="1"/>
    </row>
    <row r="17" spans="1:1" ht="35.75" customHeight="1">
      <c r="A17" s="1"/>
    </row>
    <row r="18" spans="1:1" ht="20.75" customHeight="1">
      <c r="A18" s="1"/>
    </row>
    <row r="19" spans="1:1" ht="16.75" customHeight="1">
      <c r="A19" s="1"/>
    </row>
    <row r="20" spans="1:1" ht="16.75" customHeight="1">
      <c r="A20" s="1"/>
    </row>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sheetData>
  <sheetProtection algorithmName="SHA-512" hashValue="FA6M6QyFB7Y99geOXCSdiEVW/DJXvpMEBh1raEaR4o++2DXQ6hAgNMhRx/4que5v9yim3Z/o63CWVde5AkQOZQ==" saltValue="wbcyGeYca14DepaGrtVlUA==" spinCount="100000" sheet="1" objects="1" scenarios="1"/>
  <mergeCells count="10">
    <mergeCell ref="A1:XFD2"/>
    <mergeCell ref="A8:I8"/>
    <mergeCell ref="A5:J5"/>
    <mergeCell ref="K5:T5"/>
    <mergeCell ref="A12:J12"/>
    <mergeCell ref="A7:J7"/>
    <mergeCell ref="A9:J9"/>
    <mergeCell ref="A10:J10"/>
    <mergeCell ref="A11:J11"/>
    <mergeCell ref="A6:J6"/>
  </mergeCells>
  <hyperlinks>
    <hyperlink ref="A9" r:id="rId1" xr:uid="{73046551-F51F-1B48-8F80-5B00C7F713A4}"/>
  </hyperlinks>
  <pageMargins left="0.75" right="0.75" top="1" bottom="1" header="0.5" footer="0.5"/>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75"/>
  <sheetViews>
    <sheetView showGridLines="0" showRuler="0" topLeftCell="A31" workbookViewId="0">
      <selection activeCell="M26" sqref="M26"/>
    </sheetView>
  </sheetViews>
  <sheetFormatPr baseColWidth="10" defaultColWidth="12.83203125" defaultRowHeight="13"/>
  <cols>
    <col min="1" max="1" width="78.33203125" customWidth="1"/>
    <col min="2" max="2" width="23.33203125" customWidth="1"/>
    <col min="3" max="3" width="19" customWidth="1"/>
    <col min="4" max="7" width="14.33203125" customWidth="1"/>
    <col min="8" max="11" width="0" hidden="1"/>
    <col min="12" max="12" width="14.33203125" customWidth="1"/>
  </cols>
  <sheetData>
    <row r="1" spans="1:11" ht="21.75" customHeight="1">
      <c r="A1" s="32" t="s">
        <v>683</v>
      </c>
      <c r="B1" s="32"/>
      <c r="C1" s="32"/>
      <c r="D1" s="32"/>
      <c r="E1" s="32"/>
      <c r="F1" s="32"/>
      <c r="G1" s="32"/>
      <c r="H1" s="32"/>
      <c r="I1" s="32"/>
      <c r="J1" s="32"/>
      <c r="K1" s="32"/>
    </row>
    <row r="2" spans="1:11" ht="21.75" customHeight="1"/>
    <row r="3" spans="1:11" ht="21.75" customHeight="1">
      <c r="A3" s="134" t="s">
        <v>684</v>
      </c>
      <c r="B3" s="135">
        <v>2023</v>
      </c>
      <c r="C3" s="135">
        <v>2022</v>
      </c>
      <c r="D3" s="135">
        <v>2021</v>
      </c>
      <c r="E3" s="135">
        <v>2020</v>
      </c>
      <c r="F3" s="135">
        <v>2019</v>
      </c>
      <c r="G3" s="135">
        <v>2018</v>
      </c>
      <c r="H3" s="135">
        <v>2017</v>
      </c>
      <c r="I3" s="135">
        <v>2016</v>
      </c>
      <c r="J3" s="135">
        <v>2015</v>
      </c>
      <c r="K3" s="135">
        <v>2014</v>
      </c>
    </row>
    <row r="4" spans="1:11" ht="21.75" customHeight="1">
      <c r="A4" s="21" t="s">
        <v>589</v>
      </c>
      <c r="B4" s="35">
        <f>SUM(B14,B34,B73)</f>
        <v>981</v>
      </c>
      <c r="C4" s="35">
        <v>819</v>
      </c>
      <c r="D4" s="136">
        <f t="shared" ref="D4:I4" si="0">SUM(D14,D34,D73)</f>
        <v>775.5</v>
      </c>
      <c r="E4" s="136">
        <f t="shared" si="0"/>
        <v>693.07999999999993</v>
      </c>
      <c r="F4" s="136">
        <f t="shared" si="0"/>
        <v>572.86694075039293</v>
      </c>
      <c r="G4" s="136">
        <f t="shared" si="0"/>
        <v>508.36391116861398</v>
      </c>
      <c r="H4" s="137">
        <f t="shared" si="0"/>
        <v>563.40943232583209</v>
      </c>
      <c r="I4" s="137">
        <f t="shared" si="0"/>
        <v>565.54406266671197</v>
      </c>
      <c r="J4" s="137">
        <v>536.78200000000004</v>
      </c>
      <c r="K4" s="137">
        <v>537.66200000000003</v>
      </c>
    </row>
    <row r="5" spans="1:11" ht="21.75" customHeight="1">
      <c r="A5" s="21" t="s">
        <v>590</v>
      </c>
      <c r="B5" s="35">
        <f>SUM(B19,B39,B74)</f>
        <v>571</v>
      </c>
      <c r="C5" s="35">
        <v>553</v>
      </c>
      <c r="D5" s="136">
        <f t="shared" ref="D5:I5" si="1">SUM(D19,D39,D74)</f>
        <v>535.9</v>
      </c>
      <c r="E5" s="136">
        <f t="shared" si="1"/>
        <v>451.06100000000004</v>
      </c>
      <c r="F5" s="136">
        <f t="shared" si="1"/>
        <v>495.82550000308902</v>
      </c>
      <c r="G5" s="136">
        <f t="shared" si="1"/>
        <v>467.17379583969176</v>
      </c>
      <c r="H5" s="137">
        <f t="shared" si="1"/>
        <v>529.60649943603039</v>
      </c>
      <c r="I5" s="137">
        <f t="shared" si="1"/>
        <v>569.40078122404987</v>
      </c>
      <c r="J5" s="137">
        <v>531.07799999999997</v>
      </c>
      <c r="K5" s="137">
        <v>539.05700000000002</v>
      </c>
    </row>
    <row r="6" spans="1:11" ht="21.75" customHeight="1">
      <c r="A6" s="21" t="s">
        <v>645</v>
      </c>
      <c r="B6" s="35">
        <f>SUM(B20,B40,B75)</f>
        <v>862</v>
      </c>
      <c r="C6" s="35">
        <v>801</v>
      </c>
      <c r="D6" s="136">
        <f>SUM(D20,D40,D75)</f>
        <v>812</v>
      </c>
      <c r="E6" s="136">
        <f>SUM(E20,E40,E75)</f>
        <v>877</v>
      </c>
      <c r="F6" s="136">
        <f>SUM(F20,F40,F75)</f>
        <v>893.32590916892696</v>
      </c>
      <c r="G6" s="136">
        <v>889</v>
      </c>
      <c r="H6" s="138">
        <f>SUM(H20,H40,H75)</f>
        <v>907.09125884261903</v>
      </c>
      <c r="I6" s="138">
        <f>SUM(I20,I40,I75)</f>
        <v>891.91217433853899</v>
      </c>
      <c r="J6" s="138">
        <v>561.27300000000002</v>
      </c>
      <c r="K6" s="138">
        <v>516.67899999999997</v>
      </c>
    </row>
    <row r="7" spans="1:11" ht="21.75" customHeight="1">
      <c r="A7" s="21" t="s">
        <v>640</v>
      </c>
      <c r="B7" s="35">
        <f>SUM(B23,B43,B76)</f>
        <v>168</v>
      </c>
      <c r="C7" s="35">
        <v>106</v>
      </c>
      <c r="D7" s="136">
        <f t="shared" ref="D7:I7" si="2">SUM(D23,D43,D76)</f>
        <v>132.69999999999999</v>
      </c>
      <c r="E7" s="136">
        <f t="shared" si="2"/>
        <v>102.773</v>
      </c>
      <c r="F7" s="136">
        <f t="shared" si="2"/>
        <v>132.80863195625651</v>
      </c>
      <c r="G7" s="136">
        <f t="shared" si="2"/>
        <v>125.30254936131399</v>
      </c>
      <c r="H7" s="138">
        <f t="shared" si="2"/>
        <v>109.7119029688282</v>
      </c>
      <c r="I7" s="137">
        <f t="shared" si="2"/>
        <v>113.84707995710841</v>
      </c>
      <c r="J7" s="43"/>
      <c r="K7" s="43"/>
    </row>
    <row r="8" spans="1:11" ht="21.75" customHeight="1">
      <c r="A8" s="139" t="s">
        <v>672</v>
      </c>
      <c r="B8" s="140">
        <f t="shared" ref="B8:I8" si="3">SUM(B4:B7)</f>
        <v>2582</v>
      </c>
      <c r="C8" s="75">
        <f t="shared" si="3"/>
        <v>2279</v>
      </c>
      <c r="D8" s="141">
        <f t="shared" si="3"/>
        <v>2256.1</v>
      </c>
      <c r="E8" s="141">
        <f t="shared" si="3"/>
        <v>2123.9140000000002</v>
      </c>
      <c r="F8" s="141">
        <f t="shared" si="3"/>
        <v>2094.8269818786657</v>
      </c>
      <c r="G8" s="141">
        <f t="shared" si="3"/>
        <v>1989.8402563696197</v>
      </c>
      <c r="H8" s="142">
        <f t="shared" si="3"/>
        <v>2109.8190935733096</v>
      </c>
      <c r="I8" s="142">
        <f t="shared" si="3"/>
        <v>2140.7040981864093</v>
      </c>
      <c r="J8" s="142">
        <v>1753.163</v>
      </c>
      <c r="K8" s="142">
        <v>1694.0429999999999</v>
      </c>
    </row>
    <row r="9" spans="1:11" ht="21.75" customHeight="1">
      <c r="A9" s="743" t="s">
        <v>685</v>
      </c>
      <c r="B9" s="743"/>
      <c r="C9" s="103"/>
      <c r="D9" s="103"/>
      <c r="E9" s="103"/>
      <c r="F9" s="103"/>
      <c r="G9" s="103"/>
      <c r="H9" s="19"/>
      <c r="I9" s="19"/>
      <c r="J9" s="19"/>
      <c r="K9" s="19"/>
    </row>
    <row r="10" spans="1:11" ht="21.75" customHeight="1">
      <c r="A10" s="51" t="s">
        <v>686</v>
      </c>
      <c r="J10" s="143">
        <f>J8/1000</f>
        <v>1.753163</v>
      </c>
      <c r="K10" s="143">
        <f>K8/1000</f>
        <v>1.694043</v>
      </c>
    </row>
    <row r="11" spans="1:11" ht="21.75" customHeight="1">
      <c r="J11" s="176"/>
      <c r="K11" s="176"/>
    </row>
    <row r="12" spans="1:11" ht="21.75" customHeight="1">
      <c r="A12" s="134" t="s">
        <v>687</v>
      </c>
      <c r="B12" s="134"/>
      <c r="C12" s="134"/>
      <c r="D12" s="177"/>
      <c r="E12" s="177"/>
      <c r="F12" s="177"/>
      <c r="G12" s="177"/>
      <c r="H12" s="177"/>
      <c r="I12" s="177"/>
      <c r="J12" s="177"/>
      <c r="K12" s="177"/>
    </row>
    <row r="13" spans="1:11" ht="21.75" customHeight="1">
      <c r="A13" s="134" t="s">
        <v>688</v>
      </c>
      <c r="B13" s="135">
        <v>2023</v>
      </c>
      <c r="C13" s="135">
        <v>2022</v>
      </c>
      <c r="D13" s="135">
        <v>2021</v>
      </c>
      <c r="E13" s="135">
        <v>2020</v>
      </c>
      <c r="F13" s="135">
        <v>2019</v>
      </c>
      <c r="G13" s="135">
        <v>2018</v>
      </c>
      <c r="H13" s="135">
        <v>2017</v>
      </c>
      <c r="I13" s="135">
        <v>2016</v>
      </c>
      <c r="J13" s="135">
        <v>2015</v>
      </c>
      <c r="K13" s="135">
        <v>2014</v>
      </c>
    </row>
    <row r="14" spans="1:11" ht="21.75" customHeight="1">
      <c r="A14" s="144" t="s">
        <v>589</v>
      </c>
      <c r="B14" s="145">
        <v>452</v>
      </c>
      <c r="C14" s="35">
        <v>438</v>
      </c>
      <c r="D14" s="136">
        <v>424.9</v>
      </c>
      <c r="E14" s="136">
        <v>363.702</v>
      </c>
      <c r="F14" s="136">
        <v>281.71581988994598</v>
      </c>
      <c r="G14" s="136">
        <v>215.29194070535499</v>
      </c>
      <c r="H14" s="137">
        <v>235.09975192449701</v>
      </c>
      <c r="I14" s="137">
        <v>233.027687652433</v>
      </c>
      <c r="J14" s="137">
        <v>209.69087905979001</v>
      </c>
      <c r="K14" s="137">
        <v>204.67442246487801</v>
      </c>
    </row>
    <row r="15" spans="1:11" ht="21.75" customHeight="1">
      <c r="A15" s="21" t="s">
        <v>689</v>
      </c>
      <c r="B15" s="35">
        <v>207</v>
      </c>
      <c r="C15" s="35">
        <v>197</v>
      </c>
      <c r="D15" s="136">
        <v>195</v>
      </c>
      <c r="E15" s="136">
        <v>152</v>
      </c>
      <c r="F15" s="136">
        <v>68</v>
      </c>
      <c r="G15" s="24" t="s">
        <v>625</v>
      </c>
    </row>
    <row r="16" spans="1:11" ht="21.75" customHeight="1">
      <c r="A16" s="21" t="s">
        <v>676</v>
      </c>
      <c r="B16" s="35">
        <v>121</v>
      </c>
      <c r="C16" s="35">
        <v>122</v>
      </c>
      <c r="D16" s="136">
        <v>120</v>
      </c>
      <c r="E16" s="136">
        <v>100</v>
      </c>
      <c r="F16" s="136">
        <v>91</v>
      </c>
      <c r="G16" s="136">
        <v>104</v>
      </c>
      <c r="H16" s="137">
        <v>99</v>
      </c>
      <c r="I16" s="137">
        <v>97</v>
      </c>
    </row>
    <row r="17" spans="1:11" ht="21.75" customHeight="1">
      <c r="A17" s="21" t="s">
        <v>690</v>
      </c>
      <c r="B17" s="35">
        <v>55</v>
      </c>
      <c r="C17" s="35">
        <v>56</v>
      </c>
      <c r="D17" s="136">
        <v>52</v>
      </c>
      <c r="E17" s="136">
        <v>50</v>
      </c>
      <c r="F17" s="136">
        <v>66</v>
      </c>
      <c r="G17" s="136">
        <v>71</v>
      </c>
      <c r="H17" s="137">
        <v>100</v>
      </c>
      <c r="I17" s="137">
        <v>101</v>
      </c>
    </row>
    <row r="18" spans="1:11" ht="21.75" customHeight="1">
      <c r="A18" s="21" t="s">
        <v>678</v>
      </c>
      <c r="B18" s="35">
        <v>69</v>
      </c>
      <c r="C18" s="35">
        <v>63</v>
      </c>
      <c r="D18" s="136">
        <v>58</v>
      </c>
      <c r="E18" s="136">
        <v>62</v>
      </c>
      <c r="F18" s="136">
        <v>57</v>
      </c>
      <c r="G18" s="136">
        <v>40</v>
      </c>
      <c r="H18" s="137">
        <v>30</v>
      </c>
      <c r="I18" s="137">
        <v>25</v>
      </c>
    </row>
    <row r="19" spans="1:11" ht="21.75" customHeight="1">
      <c r="A19" s="144" t="s">
        <v>590</v>
      </c>
      <c r="B19" s="145">
        <v>10</v>
      </c>
      <c r="C19" s="35">
        <v>10</v>
      </c>
      <c r="D19" s="136">
        <v>8.9</v>
      </c>
      <c r="E19" s="136">
        <v>6.617</v>
      </c>
      <c r="F19" s="136">
        <v>6.2083299786839499</v>
      </c>
      <c r="G19" s="136">
        <v>5.52011024969174</v>
      </c>
      <c r="H19" s="137">
        <v>8.5632083256296596</v>
      </c>
      <c r="I19" s="137">
        <v>8.7137648681967494</v>
      </c>
      <c r="J19" s="137">
        <v>7.1019448376507697</v>
      </c>
      <c r="K19" s="137">
        <v>6.9865958688194603</v>
      </c>
    </row>
    <row r="20" spans="1:11" ht="21.75" customHeight="1">
      <c r="A20" s="144" t="s">
        <v>645</v>
      </c>
      <c r="B20" s="145">
        <v>265</v>
      </c>
      <c r="C20" s="35">
        <f t="shared" ref="C20:I20" si="4">SUM(C21:C22)</f>
        <v>284</v>
      </c>
      <c r="D20" s="136">
        <f t="shared" si="4"/>
        <v>301</v>
      </c>
      <c r="E20" s="136">
        <f t="shared" si="4"/>
        <v>317</v>
      </c>
      <c r="F20" s="136">
        <f t="shared" si="4"/>
        <v>317</v>
      </c>
      <c r="G20" s="136">
        <f t="shared" si="4"/>
        <v>316</v>
      </c>
      <c r="H20" s="146">
        <f t="shared" si="4"/>
        <v>312</v>
      </c>
      <c r="I20" s="146">
        <f t="shared" si="4"/>
        <v>267</v>
      </c>
    </row>
    <row r="21" spans="1:11" ht="21.75" customHeight="1">
      <c r="A21" s="21" t="s">
        <v>691</v>
      </c>
      <c r="B21" s="35">
        <v>43</v>
      </c>
      <c r="C21" s="35">
        <v>77</v>
      </c>
      <c r="D21" s="136">
        <v>87</v>
      </c>
      <c r="E21" s="136">
        <v>91</v>
      </c>
      <c r="F21" s="136">
        <v>96</v>
      </c>
      <c r="G21" s="136">
        <v>116</v>
      </c>
      <c r="H21" s="137">
        <v>96</v>
      </c>
      <c r="I21" s="137">
        <v>50</v>
      </c>
    </row>
    <row r="22" spans="1:11" ht="21.75" customHeight="1">
      <c r="A22" s="21" t="s">
        <v>680</v>
      </c>
      <c r="B22" s="35">
        <v>223</v>
      </c>
      <c r="C22" s="35">
        <v>207</v>
      </c>
      <c r="D22" s="136">
        <v>214</v>
      </c>
      <c r="E22" s="136">
        <v>226</v>
      </c>
      <c r="F22" s="136">
        <v>221</v>
      </c>
      <c r="G22" s="136">
        <v>200</v>
      </c>
      <c r="H22" s="137">
        <v>216</v>
      </c>
      <c r="I22" s="137">
        <v>217</v>
      </c>
    </row>
    <row r="23" spans="1:11" ht="21.75" customHeight="1">
      <c r="A23" s="144" t="s">
        <v>640</v>
      </c>
      <c r="B23" s="145">
        <v>51</v>
      </c>
      <c r="C23" s="35">
        <v>57</v>
      </c>
      <c r="D23" s="136">
        <v>52.2</v>
      </c>
      <c r="E23" s="136">
        <v>28.7</v>
      </c>
      <c r="F23" s="147">
        <v>33.299999999999997</v>
      </c>
      <c r="G23" s="136">
        <v>28.7</v>
      </c>
      <c r="H23" s="137">
        <v>28.2</v>
      </c>
      <c r="I23" s="137">
        <v>29.4</v>
      </c>
      <c r="J23" s="178"/>
      <c r="K23" s="178"/>
    </row>
    <row r="24" spans="1:11" ht="21.75" customHeight="1">
      <c r="A24" s="139" t="s">
        <v>692</v>
      </c>
      <c r="B24" s="148">
        <f t="shared" ref="B24:K24" si="5">SUM(B14,B19,B20,B23)</f>
        <v>778</v>
      </c>
      <c r="C24" s="74">
        <f t="shared" si="5"/>
        <v>789</v>
      </c>
      <c r="D24" s="141">
        <f t="shared" si="5"/>
        <v>787</v>
      </c>
      <c r="E24" s="149">
        <f t="shared" si="5"/>
        <v>716.01900000000001</v>
      </c>
      <c r="F24" s="149">
        <f t="shared" si="5"/>
        <v>638.22414986862987</v>
      </c>
      <c r="G24" s="149">
        <f t="shared" si="5"/>
        <v>565.51205095504679</v>
      </c>
      <c r="H24" s="150">
        <f t="shared" si="5"/>
        <v>583.86296025012666</v>
      </c>
      <c r="I24" s="150">
        <f t="shared" si="5"/>
        <v>538.14145252062974</v>
      </c>
      <c r="J24" s="151">
        <f t="shared" si="5"/>
        <v>216.79282389744077</v>
      </c>
      <c r="K24" s="151">
        <f t="shared" si="5"/>
        <v>211.66101833369746</v>
      </c>
    </row>
    <row r="25" spans="1:11" ht="21.75" customHeight="1">
      <c r="A25" s="743" t="s">
        <v>685</v>
      </c>
      <c r="B25" s="743"/>
      <c r="C25" s="78"/>
      <c r="D25" s="78"/>
      <c r="E25" s="78"/>
      <c r="F25" s="78"/>
      <c r="G25" s="78"/>
      <c r="H25" s="30"/>
      <c r="I25" s="30"/>
      <c r="J25" s="30"/>
      <c r="K25" s="30"/>
    </row>
    <row r="26" spans="1:11" ht="21.75" customHeight="1">
      <c r="A26" s="51" t="s">
        <v>693</v>
      </c>
    </row>
    <row r="27" spans="1:11" ht="21.75" customHeight="1"/>
    <row r="28" spans="1:11" ht="21.75" customHeight="1">
      <c r="A28" s="134" t="s">
        <v>694</v>
      </c>
      <c r="B28" s="135">
        <v>2023</v>
      </c>
      <c r="C28" s="135">
        <v>2022</v>
      </c>
      <c r="D28" s="135">
        <v>2021</v>
      </c>
      <c r="E28" s="135">
        <v>2020</v>
      </c>
      <c r="F28" s="135">
        <v>2019</v>
      </c>
      <c r="G28" s="135">
        <v>2018</v>
      </c>
      <c r="H28" s="135">
        <v>2017</v>
      </c>
      <c r="I28" s="135">
        <v>2016</v>
      </c>
      <c r="J28" s="177"/>
      <c r="K28" s="177"/>
    </row>
    <row r="29" spans="1:11" ht="21.75" customHeight="1">
      <c r="A29" s="152" t="s">
        <v>695</v>
      </c>
      <c r="B29" s="624">
        <v>0.57999999999999996</v>
      </c>
      <c r="C29" s="607">
        <v>0.53</v>
      </c>
      <c r="D29" s="607">
        <v>0.54</v>
      </c>
      <c r="E29" s="607">
        <v>0.5</v>
      </c>
      <c r="F29" s="607">
        <f t="shared" ref="F29:K29" si="6">F14/F24</f>
        <v>0.44140576621541744</v>
      </c>
      <c r="G29" s="607">
        <f t="shared" si="6"/>
        <v>0.38070265760343414</v>
      </c>
      <c r="H29" s="153">
        <f t="shared" si="6"/>
        <v>0.4026625559939277</v>
      </c>
      <c r="I29" s="153">
        <f t="shared" si="6"/>
        <v>0.43302311420341633</v>
      </c>
      <c r="J29" s="153">
        <f t="shared" si="6"/>
        <v>0.9672408675251607</v>
      </c>
      <c r="K29" s="153">
        <f t="shared" si="6"/>
        <v>0.96699157963132998</v>
      </c>
    </row>
    <row r="30" spans="1:11" ht="21.75" customHeight="1">
      <c r="A30" s="78" t="s">
        <v>696</v>
      </c>
      <c r="B30" s="78"/>
      <c r="C30" s="78"/>
      <c r="D30" s="103"/>
      <c r="E30" s="103"/>
      <c r="F30" s="103"/>
      <c r="G30" s="103"/>
      <c r="H30" s="19"/>
      <c r="I30" s="19"/>
      <c r="J30" s="19"/>
      <c r="K30" s="19"/>
    </row>
    <row r="31" spans="1:11" ht="21.75" customHeight="1"/>
    <row r="32" spans="1:11" ht="21.75" customHeight="1">
      <c r="A32" s="134" t="s">
        <v>697</v>
      </c>
      <c r="B32" s="134"/>
      <c r="C32" s="134"/>
      <c r="D32" s="177"/>
      <c r="E32" s="177"/>
      <c r="F32" s="177"/>
      <c r="G32" s="177"/>
      <c r="H32" s="177"/>
      <c r="I32" s="177"/>
      <c r="J32" s="177"/>
      <c r="K32" s="177"/>
    </row>
    <row r="33" spans="1:11" ht="21.75" customHeight="1">
      <c r="A33" s="134" t="s">
        <v>698</v>
      </c>
      <c r="B33" s="135">
        <v>2023</v>
      </c>
      <c r="C33" s="135">
        <v>2022</v>
      </c>
      <c r="D33" s="135">
        <v>2021</v>
      </c>
      <c r="E33" s="135">
        <v>2020</v>
      </c>
      <c r="F33" s="135">
        <v>2019</v>
      </c>
      <c r="G33" s="135">
        <v>2018</v>
      </c>
      <c r="H33" s="135">
        <v>2017</v>
      </c>
      <c r="I33" s="135">
        <v>2016</v>
      </c>
      <c r="J33" s="135">
        <v>2015</v>
      </c>
      <c r="K33" s="135">
        <v>2014</v>
      </c>
    </row>
    <row r="34" spans="1:11" ht="21.75" customHeight="1">
      <c r="A34" s="51" t="s">
        <v>589</v>
      </c>
      <c r="B34" s="145">
        <v>109</v>
      </c>
      <c r="C34" s="35">
        <v>106</v>
      </c>
      <c r="D34" s="136">
        <v>105.6</v>
      </c>
      <c r="E34" s="136">
        <v>97.378</v>
      </c>
      <c r="F34" s="136">
        <v>120.03960985000001</v>
      </c>
      <c r="G34" s="136">
        <v>140.66037689999999</v>
      </c>
      <c r="H34" s="137">
        <v>160.000730232</v>
      </c>
      <c r="I34" s="137">
        <v>165.89389439499999</v>
      </c>
      <c r="J34" s="137">
        <v>172.66668333000001</v>
      </c>
      <c r="K34" s="137">
        <v>176.99912266999999</v>
      </c>
    </row>
    <row r="35" spans="1:11" ht="21.75" customHeight="1">
      <c r="A35" s="21" t="s">
        <v>689</v>
      </c>
      <c r="B35" s="35">
        <v>0</v>
      </c>
      <c r="C35" s="136">
        <v>0</v>
      </c>
      <c r="D35" s="136">
        <v>0</v>
      </c>
      <c r="E35" s="136">
        <v>0</v>
      </c>
      <c r="F35" s="136">
        <v>0</v>
      </c>
    </row>
    <row r="36" spans="1:11" ht="21.75" customHeight="1">
      <c r="A36" s="21" t="s">
        <v>676</v>
      </c>
      <c r="B36" s="35">
        <v>0</v>
      </c>
      <c r="C36" s="136">
        <v>0</v>
      </c>
      <c r="D36" s="136">
        <v>0</v>
      </c>
      <c r="E36" s="136">
        <v>0</v>
      </c>
      <c r="F36" s="136">
        <v>0</v>
      </c>
      <c r="H36" s="137">
        <v>0</v>
      </c>
      <c r="I36" s="137">
        <v>0</v>
      </c>
    </row>
    <row r="37" spans="1:11" ht="21.75" customHeight="1">
      <c r="A37" s="21" t="s">
        <v>690</v>
      </c>
      <c r="B37" s="35">
        <v>109</v>
      </c>
      <c r="C37" s="35">
        <v>106</v>
      </c>
      <c r="D37" s="136">
        <v>106</v>
      </c>
      <c r="E37" s="136">
        <v>97</v>
      </c>
      <c r="F37" s="136">
        <v>86</v>
      </c>
      <c r="G37" s="136">
        <v>91</v>
      </c>
      <c r="H37" s="137">
        <v>91</v>
      </c>
      <c r="I37" s="137">
        <v>90</v>
      </c>
    </row>
    <row r="38" spans="1:11" ht="21.75" customHeight="1">
      <c r="A38" s="21" t="s">
        <v>678</v>
      </c>
      <c r="B38" s="35">
        <v>0</v>
      </c>
      <c r="C38" s="35">
        <v>0</v>
      </c>
      <c r="D38" s="136">
        <v>0</v>
      </c>
      <c r="E38" s="136">
        <v>0</v>
      </c>
      <c r="F38" s="136">
        <v>34</v>
      </c>
      <c r="G38" s="136">
        <v>50</v>
      </c>
      <c r="H38" s="137">
        <v>53</v>
      </c>
      <c r="I38" s="137">
        <v>53</v>
      </c>
    </row>
    <row r="39" spans="1:11" ht="21.75" customHeight="1">
      <c r="A39" s="144" t="s">
        <v>590</v>
      </c>
      <c r="B39" s="145">
        <v>450</v>
      </c>
      <c r="C39" s="35">
        <v>506</v>
      </c>
      <c r="D39" s="136">
        <v>493</v>
      </c>
      <c r="E39" s="136">
        <v>415.44400000000002</v>
      </c>
      <c r="F39" s="136">
        <v>462.92207639999998</v>
      </c>
      <c r="G39" s="136">
        <v>436.31768559</v>
      </c>
      <c r="H39" s="137">
        <v>492.86752811999997</v>
      </c>
      <c r="I39" s="137">
        <v>525.98712017000003</v>
      </c>
      <c r="J39" s="137">
        <v>489.52537589999997</v>
      </c>
      <c r="K39" s="137">
        <v>491.47221469999999</v>
      </c>
    </row>
    <row r="40" spans="1:11" ht="21.75" customHeight="1">
      <c r="A40" s="144" t="s">
        <v>645</v>
      </c>
      <c r="B40" s="145">
        <v>295</v>
      </c>
      <c r="C40" s="35">
        <v>315</v>
      </c>
      <c r="D40" s="136">
        <f t="shared" ref="D40:I40" si="7">SUM(D41:D42)</f>
        <v>302</v>
      </c>
      <c r="E40" s="136">
        <f t="shared" si="7"/>
        <v>344</v>
      </c>
      <c r="F40" s="136">
        <f t="shared" si="7"/>
        <v>351</v>
      </c>
      <c r="G40" s="136">
        <f t="shared" si="7"/>
        <v>329</v>
      </c>
      <c r="H40" s="137">
        <f t="shared" si="7"/>
        <v>355</v>
      </c>
      <c r="I40" s="137">
        <f t="shared" si="7"/>
        <v>422</v>
      </c>
    </row>
    <row r="41" spans="1:11" ht="21.75" customHeight="1">
      <c r="A41" s="21" t="s">
        <v>691</v>
      </c>
      <c r="B41" s="35">
        <v>88</v>
      </c>
      <c r="C41" s="35">
        <v>100</v>
      </c>
      <c r="D41" s="136">
        <v>97</v>
      </c>
      <c r="E41" s="136">
        <v>121</v>
      </c>
      <c r="F41" s="136">
        <v>113</v>
      </c>
      <c r="G41" s="136">
        <v>100</v>
      </c>
      <c r="H41" s="137">
        <v>101</v>
      </c>
      <c r="I41" s="137">
        <v>125</v>
      </c>
    </row>
    <row r="42" spans="1:11" ht="21.75" customHeight="1">
      <c r="A42" s="21" t="s">
        <v>680</v>
      </c>
      <c r="B42" s="35">
        <v>207</v>
      </c>
      <c r="C42" s="35">
        <v>215</v>
      </c>
      <c r="D42" s="136">
        <v>205</v>
      </c>
      <c r="E42" s="136">
        <v>223</v>
      </c>
      <c r="F42" s="136">
        <v>238</v>
      </c>
      <c r="G42" s="136">
        <v>229</v>
      </c>
      <c r="H42" s="137">
        <v>254</v>
      </c>
      <c r="I42" s="137">
        <v>297</v>
      </c>
    </row>
    <row r="43" spans="1:11" ht="21.75" customHeight="1">
      <c r="A43" s="144" t="s">
        <v>640</v>
      </c>
      <c r="B43" s="145">
        <v>0</v>
      </c>
      <c r="C43" s="35">
        <v>0</v>
      </c>
      <c r="D43" s="136">
        <v>26.5</v>
      </c>
      <c r="E43" s="136">
        <v>33.299999999999997</v>
      </c>
      <c r="F43" s="136">
        <v>38.700000000000003</v>
      </c>
      <c r="G43" s="136">
        <v>33.299999999999997</v>
      </c>
      <c r="H43" s="137">
        <v>32.799999999999997</v>
      </c>
      <c r="I43" s="137">
        <v>39</v>
      </c>
    </row>
    <row r="44" spans="1:11" ht="21.75" customHeight="1">
      <c r="A44" s="139" t="s">
        <v>692</v>
      </c>
      <c r="B44" s="148">
        <f t="shared" ref="B44:I44" si="8">SUM(B43,B34,B39,B40)</f>
        <v>854</v>
      </c>
      <c r="C44" s="74">
        <f t="shared" si="8"/>
        <v>927</v>
      </c>
      <c r="D44" s="141">
        <f t="shared" si="8"/>
        <v>927.1</v>
      </c>
      <c r="E44" s="141">
        <f t="shared" si="8"/>
        <v>890.12200000000007</v>
      </c>
      <c r="F44" s="141">
        <f t="shared" si="8"/>
        <v>972.66168625</v>
      </c>
      <c r="G44" s="141">
        <f t="shared" si="8"/>
        <v>939.27806248999991</v>
      </c>
      <c r="H44" s="142">
        <f t="shared" si="8"/>
        <v>1040.6682583520001</v>
      </c>
      <c r="I44" s="142">
        <f t="shared" si="8"/>
        <v>1152.881014565</v>
      </c>
      <c r="J44" s="142">
        <v>793.02573503492397</v>
      </c>
      <c r="K44" s="142">
        <v>794.17374364538</v>
      </c>
    </row>
    <row r="45" spans="1:11" ht="21.75" customHeight="1">
      <c r="A45" s="743" t="s">
        <v>685</v>
      </c>
      <c r="B45" s="743"/>
      <c r="C45" s="78"/>
      <c r="D45" s="103"/>
      <c r="E45" s="103"/>
      <c r="F45" s="103"/>
      <c r="G45" s="103"/>
      <c r="H45" s="19"/>
      <c r="I45" s="19"/>
      <c r="J45" s="19"/>
      <c r="K45" s="19"/>
    </row>
    <row r="46" spans="1:11" ht="21.75" customHeight="1">
      <c r="A46" s="51" t="s">
        <v>699</v>
      </c>
    </row>
    <row r="47" spans="1:11" ht="15" hidden="1" customHeight="1">
      <c r="A47" s="134" t="s">
        <v>697</v>
      </c>
      <c r="B47" s="134"/>
      <c r="C47" s="134"/>
      <c r="D47" s="177"/>
      <c r="E47" s="177"/>
      <c r="F47" s="177"/>
      <c r="G47" s="177"/>
      <c r="H47" s="177"/>
      <c r="I47" s="177"/>
    </row>
    <row r="48" spans="1:11" ht="15" hidden="1" customHeight="1">
      <c r="A48" s="134" t="s">
        <v>698</v>
      </c>
      <c r="B48" s="134"/>
      <c r="C48" s="134"/>
      <c r="D48" s="135">
        <v>2021</v>
      </c>
      <c r="E48" s="135">
        <v>2020</v>
      </c>
      <c r="F48" s="135">
        <v>2019</v>
      </c>
      <c r="G48" s="135">
        <v>2018</v>
      </c>
      <c r="H48" s="135">
        <v>2017</v>
      </c>
      <c r="I48" s="135">
        <v>2016</v>
      </c>
    </row>
    <row r="49" spans="1:10" ht="15" hidden="1" customHeight="1">
      <c r="A49" s="21" t="s">
        <v>700</v>
      </c>
      <c r="D49" s="137">
        <v>645</v>
      </c>
      <c r="E49" s="138">
        <v>565.39503972177602</v>
      </c>
      <c r="F49" s="138">
        <v>674.16551768999705</v>
      </c>
      <c r="G49" s="138">
        <v>658.19045000000006</v>
      </c>
      <c r="H49" s="138">
        <v>785.00437999999997</v>
      </c>
      <c r="I49" s="138">
        <v>965.46924999999999</v>
      </c>
    </row>
    <row r="50" spans="1:10" ht="15" hidden="1" customHeight="1">
      <c r="A50" s="21" t="s">
        <v>701</v>
      </c>
      <c r="D50" s="137">
        <v>282</v>
      </c>
      <c r="E50" s="154">
        <v>160.967716</v>
      </c>
      <c r="F50" s="154">
        <v>130.3649935</v>
      </c>
      <c r="G50" s="154">
        <v>129.833383</v>
      </c>
      <c r="H50" s="154">
        <v>97.564794000000006</v>
      </c>
      <c r="I50" s="154">
        <v>3.7962924999999998</v>
      </c>
    </row>
    <row r="51" spans="1:10" ht="15" hidden="1" customHeight="1">
      <c r="A51" s="155" t="s">
        <v>702</v>
      </c>
      <c r="D51" s="156">
        <v>927</v>
      </c>
      <c r="E51" s="157">
        <v>726.78700000000003</v>
      </c>
      <c r="F51" s="157">
        <v>805.256271042295</v>
      </c>
      <c r="G51" s="157">
        <v>788.48560685477003</v>
      </c>
      <c r="H51" s="157">
        <v>882.83864766802503</v>
      </c>
      <c r="I51" s="157">
        <f>SUM(I49:I50)</f>
        <v>969.26554250000004</v>
      </c>
    </row>
    <row r="52" spans="1:10" ht="15" hidden="1" customHeight="1">
      <c r="A52" s="19"/>
      <c r="B52" s="19"/>
      <c r="C52" s="19"/>
      <c r="D52" s="19" t="s">
        <v>703</v>
      </c>
      <c r="E52" s="158">
        <v>0.67</v>
      </c>
      <c r="F52" s="158">
        <v>0.67</v>
      </c>
      <c r="G52" s="19" t="s">
        <v>704</v>
      </c>
      <c r="H52" s="19" t="s">
        <v>704</v>
      </c>
      <c r="I52" s="19" t="s">
        <v>705</v>
      </c>
    </row>
    <row r="53" spans="1:10" ht="21.75" customHeight="1"/>
    <row r="54" spans="1:10" ht="21.75" customHeight="1">
      <c r="A54" s="134" t="s">
        <v>706</v>
      </c>
      <c r="B54" s="134"/>
      <c r="C54" s="134"/>
      <c r="D54" s="177"/>
      <c r="E54" s="177"/>
      <c r="F54" s="177"/>
      <c r="G54" s="177"/>
      <c r="H54" s="177"/>
      <c r="I54" s="177"/>
    </row>
    <row r="55" spans="1:10" ht="21.75" customHeight="1">
      <c r="A55" s="134" t="s">
        <v>707</v>
      </c>
      <c r="B55" s="134"/>
      <c r="C55" s="134"/>
      <c r="D55" s="177"/>
      <c r="E55" s="177"/>
      <c r="F55" s="177"/>
      <c r="G55" s="177"/>
      <c r="H55" s="177"/>
      <c r="I55" s="177"/>
    </row>
    <row r="56" spans="1:10" ht="21.75" customHeight="1">
      <c r="A56" s="134" t="s">
        <v>651</v>
      </c>
      <c r="B56" s="135">
        <v>2023</v>
      </c>
      <c r="C56" s="135">
        <v>2022</v>
      </c>
      <c r="D56" s="135">
        <v>2021</v>
      </c>
      <c r="E56" s="135">
        <v>2020</v>
      </c>
      <c r="F56" s="135">
        <v>2019</v>
      </c>
      <c r="G56" s="135">
        <v>2018</v>
      </c>
      <c r="H56" s="135">
        <v>2017</v>
      </c>
      <c r="I56" s="135">
        <v>2016</v>
      </c>
    </row>
    <row r="57" spans="1:10" ht="21.75" customHeight="1">
      <c r="A57" s="144" t="s">
        <v>589</v>
      </c>
      <c r="B57" s="145">
        <f t="shared" ref="B57:C67" si="9">SUM(B14,B34)</f>
        <v>561</v>
      </c>
      <c r="C57" s="35">
        <f t="shared" si="9"/>
        <v>544</v>
      </c>
      <c r="D57" s="136">
        <v>530.5</v>
      </c>
      <c r="E57" s="136">
        <v>461.08</v>
      </c>
      <c r="F57" s="136">
        <v>401.75542973994601</v>
      </c>
      <c r="G57" s="136">
        <v>355.95231760535501</v>
      </c>
      <c r="H57" s="138">
        <v>395.10048215649698</v>
      </c>
      <c r="I57" s="137">
        <v>398.92158204743299</v>
      </c>
      <c r="J57" s="137">
        <v>398.92158204743299</v>
      </c>
    </row>
    <row r="58" spans="1:10" ht="21.75" customHeight="1">
      <c r="A58" s="21" t="s">
        <v>689</v>
      </c>
      <c r="B58" s="35">
        <f t="shared" si="9"/>
        <v>207</v>
      </c>
      <c r="C58" s="35">
        <f t="shared" si="9"/>
        <v>197</v>
      </c>
      <c r="D58" s="136">
        <v>195</v>
      </c>
      <c r="E58" s="136">
        <v>152</v>
      </c>
      <c r="F58" s="136">
        <v>68</v>
      </c>
      <c r="G58" s="136">
        <v>0</v>
      </c>
      <c r="H58" s="138">
        <v>0</v>
      </c>
      <c r="I58" s="137">
        <v>0</v>
      </c>
    </row>
    <row r="59" spans="1:10" ht="21.75" customHeight="1">
      <c r="A59" s="21" t="s">
        <v>676</v>
      </c>
      <c r="B59" s="35">
        <f t="shared" si="9"/>
        <v>121</v>
      </c>
      <c r="C59" s="35">
        <f t="shared" si="9"/>
        <v>122</v>
      </c>
      <c r="D59" s="136">
        <v>120</v>
      </c>
      <c r="E59" s="136">
        <v>100</v>
      </c>
      <c r="F59" s="136">
        <v>91</v>
      </c>
      <c r="G59" s="136">
        <v>104</v>
      </c>
      <c r="H59" s="138">
        <v>99</v>
      </c>
      <c r="I59" s="137">
        <v>97</v>
      </c>
    </row>
    <row r="60" spans="1:10" ht="21.75" customHeight="1">
      <c r="A60" s="21" t="s">
        <v>690</v>
      </c>
      <c r="B60" s="35">
        <f t="shared" si="9"/>
        <v>164</v>
      </c>
      <c r="C60" s="35">
        <f t="shared" si="9"/>
        <v>162</v>
      </c>
      <c r="D60" s="136">
        <v>158</v>
      </c>
      <c r="E60" s="136">
        <v>147</v>
      </c>
      <c r="F60" s="136">
        <v>152</v>
      </c>
      <c r="G60" s="136">
        <v>162</v>
      </c>
      <c r="H60" s="138">
        <v>191</v>
      </c>
      <c r="I60" s="137">
        <v>191</v>
      </c>
      <c r="J60" s="137">
        <v>191</v>
      </c>
    </row>
    <row r="61" spans="1:10" ht="21.75" customHeight="1">
      <c r="A61" s="21" t="s">
        <v>678</v>
      </c>
      <c r="B61" s="35">
        <f t="shared" si="9"/>
        <v>69</v>
      </c>
      <c r="C61" s="35">
        <f t="shared" si="9"/>
        <v>63</v>
      </c>
      <c r="D61" s="136">
        <v>58</v>
      </c>
      <c r="E61" s="136">
        <v>62</v>
      </c>
      <c r="F61" s="136">
        <v>91</v>
      </c>
      <c r="G61" s="136">
        <v>90</v>
      </c>
      <c r="H61" s="138">
        <v>83</v>
      </c>
      <c r="I61" s="137">
        <v>78</v>
      </c>
      <c r="J61" s="137">
        <v>78</v>
      </c>
    </row>
    <row r="62" spans="1:10" ht="21.75" customHeight="1">
      <c r="A62" s="144" t="s">
        <v>590</v>
      </c>
      <c r="B62" s="145">
        <f t="shared" si="9"/>
        <v>460</v>
      </c>
      <c r="C62" s="35">
        <f t="shared" si="9"/>
        <v>516</v>
      </c>
      <c r="D62" s="136">
        <v>501.9</v>
      </c>
      <c r="E62" s="136">
        <v>422.06099999999998</v>
      </c>
      <c r="F62" s="136">
        <v>469.13040637868397</v>
      </c>
      <c r="G62" s="136">
        <v>441.83779583969198</v>
      </c>
      <c r="H62" s="138">
        <v>501.43073644562998</v>
      </c>
      <c r="I62" s="137">
        <v>534.70088503819704</v>
      </c>
      <c r="J62" s="137">
        <v>534.70088503819704</v>
      </c>
    </row>
    <row r="63" spans="1:10" ht="21.75" customHeight="1">
      <c r="A63" s="144" t="s">
        <v>645</v>
      </c>
      <c r="B63" s="145">
        <f t="shared" si="9"/>
        <v>560</v>
      </c>
      <c r="C63" s="35">
        <f t="shared" si="9"/>
        <v>599</v>
      </c>
      <c r="D63" s="136">
        <f t="shared" ref="D63:I63" si="10">SUM(D64:D65)</f>
        <v>603</v>
      </c>
      <c r="E63" s="136">
        <f t="shared" si="10"/>
        <v>661</v>
      </c>
      <c r="F63" s="136">
        <f t="shared" si="10"/>
        <v>668</v>
      </c>
      <c r="G63" s="136">
        <f t="shared" si="10"/>
        <v>646</v>
      </c>
      <c r="H63" s="137">
        <f t="shared" si="10"/>
        <v>668</v>
      </c>
      <c r="I63" s="137">
        <f t="shared" si="10"/>
        <v>689</v>
      </c>
    </row>
    <row r="64" spans="1:10" ht="21.75" customHeight="1">
      <c r="A64" s="21" t="s">
        <v>691</v>
      </c>
      <c r="B64" s="35">
        <f t="shared" si="9"/>
        <v>131</v>
      </c>
      <c r="C64" s="35">
        <f t="shared" si="9"/>
        <v>177</v>
      </c>
      <c r="D64" s="136">
        <v>184</v>
      </c>
      <c r="E64" s="136">
        <v>212</v>
      </c>
      <c r="F64" s="136">
        <v>209</v>
      </c>
      <c r="G64" s="136">
        <v>216</v>
      </c>
      <c r="H64" s="137">
        <v>197</v>
      </c>
      <c r="I64" s="137">
        <v>175</v>
      </c>
    </row>
    <row r="65" spans="1:11" ht="21.75" customHeight="1">
      <c r="A65" s="21" t="s">
        <v>680</v>
      </c>
      <c r="B65" s="35">
        <f t="shared" si="9"/>
        <v>430</v>
      </c>
      <c r="C65" s="35">
        <f t="shared" si="9"/>
        <v>422</v>
      </c>
      <c r="D65" s="159">
        <v>419</v>
      </c>
      <c r="E65" s="159">
        <v>449</v>
      </c>
      <c r="F65" s="159">
        <v>459</v>
      </c>
      <c r="G65" s="159">
        <v>430</v>
      </c>
      <c r="H65" s="138">
        <v>471</v>
      </c>
      <c r="I65" s="138">
        <v>514</v>
      </c>
      <c r="J65" s="137">
        <v>486.43400000000003</v>
      </c>
    </row>
    <row r="66" spans="1:11" ht="20" customHeight="1">
      <c r="A66" s="144" t="s">
        <v>640</v>
      </c>
      <c r="B66" s="35">
        <f t="shared" si="9"/>
        <v>51</v>
      </c>
      <c r="C66" s="35">
        <f t="shared" si="9"/>
        <v>57</v>
      </c>
      <c r="D66" s="136">
        <v>78.7</v>
      </c>
      <c r="E66" s="136">
        <v>62</v>
      </c>
      <c r="F66" s="136">
        <v>72</v>
      </c>
      <c r="G66" s="136">
        <v>62</v>
      </c>
      <c r="H66" s="138">
        <v>61</v>
      </c>
      <c r="I66" s="137">
        <v>68.400000000000006</v>
      </c>
      <c r="J66" s="137">
        <v>68.400000000000006</v>
      </c>
    </row>
    <row r="67" spans="1:11" ht="20" customHeight="1">
      <c r="A67" s="139" t="s">
        <v>692</v>
      </c>
      <c r="B67" s="160">
        <f t="shared" si="9"/>
        <v>1632</v>
      </c>
      <c r="C67" s="161">
        <f t="shared" si="9"/>
        <v>1716</v>
      </c>
      <c r="D67" s="141">
        <f>SUM(D58,D59,D60,D61,D62,D64,D65,D66)</f>
        <v>1714.6000000000001</v>
      </c>
      <c r="E67" s="149">
        <f t="shared" ref="E67:K67" si="11">SUM(E57,E62,E63,E66)</f>
        <v>1606.1410000000001</v>
      </c>
      <c r="F67" s="149">
        <f t="shared" si="11"/>
        <v>1610.8858361186299</v>
      </c>
      <c r="G67" s="149">
        <f t="shared" si="11"/>
        <v>1505.7901134450469</v>
      </c>
      <c r="H67" s="151">
        <f t="shared" si="11"/>
        <v>1625.531218602127</v>
      </c>
      <c r="I67" s="162">
        <f t="shared" si="11"/>
        <v>1691.0224670856301</v>
      </c>
      <c r="J67" s="151">
        <f t="shared" si="11"/>
        <v>1002.02246708563</v>
      </c>
      <c r="K67" s="151">
        <f t="shared" si="11"/>
        <v>0</v>
      </c>
    </row>
    <row r="68" spans="1:11" ht="21.75" customHeight="1">
      <c r="A68" s="743" t="s">
        <v>685</v>
      </c>
      <c r="B68" s="743"/>
      <c r="C68" s="743"/>
      <c r="D68" s="103"/>
      <c r="E68" s="103"/>
      <c r="F68" s="103"/>
      <c r="G68" s="103"/>
      <c r="H68" s="163">
        <f>SUM(H24,H44)</f>
        <v>1624.5312186021267</v>
      </c>
      <c r="I68" s="163">
        <f>SUM(I24,I44)</f>
        <v>1691.0224670856296</v>
      </c>
      <c r="J68" s="19"/>
      <c r="K68" s="19"/>
    </row>
    <row r="69" spans="1:11" ht="21.75" customHeight="1">
      <c r="A69" s="51" t="s">
        <v>693</v>
      </c>
    </row>
    <row r="70" spans="1:11" ht="21.75" customHeight="1"/>
    <row r="71" spans="1:11" ht="21.75" customHeight="1">
      <c r="A71" s="134" t="s">
        <v>708</v>
      </c>
      <c r="B71" s="134"/>
      <c r="C71" s="134"/>
      <c r="D71" s="177"/>
      <c r="E71" s="177"/>
      <c r="F71" s="177"/>
      <c r="G71" s="177"/>
      <c r="H71" s="177"/>
      <c r="I71" s="177"/>
      <c r="J71" s="177"/>
      <c r="K71" s="177"/>
    </row>
    <row r="72" spans="1:11" ht="21.75" customHeight="1">
      <c r="A72" s="32" t="s">
        <v>709</v>
      </c>
      <c r="B72" s="135">
        <v>2023</v>
      </c>
      <c r="C72" s="135">
        <v>2022</v>
      </c>
      <c r="D72" s="135">
        <v>2021</v>
      </c>
      <c r="E72" s="135">
        <v>2020</v>
      </c>
      <c r="F72" s="135">
        <v>2019</v>
      </c>
      <c r="G72" s="135">
        <v>2018</v>
      </c>
      <c r="H72" s="135">
        <v>2017</v>
      </c>
      <c r="I72" s="135">
        <v>2016</v>
      </c>
      <c r="J72" s="135">
        <v>2015</v>
      </c>
      <c r="K72" s="135">
        <v>2014</v>
      </c>
    </row>
    <row r="73" spans="1:11" ht="21.75" customHeight="1">
      <c r="A73" s="21" t="s">
        <v>589</v>
      </c>
      <c r="B73" s="35">
        <v>420</v>
      </c>
      <c r="C73" s="35">
        <v>275</v>
      </c>
      <c r="D73" s="20">
        <v>245</v>
      </c>
      <c r="E73" s="20">
        <v>232</v>
      </c>
      <c r="F73" s="20">
        <v>171.111511010447</v>
      </c>
      <c r="G73" s="20">
        <v>152.411593563259</v>
      </c>
      <c r="H73" s="137">
        <v>168.30895016933499</v>
      </c>
      <c r="I73" s="137">
        <v>166.622480619279</v>
      </c>
      <c r="J73" s="137">
        <v>154.422895318223</v>
      </c>
      <c r="K73" s="137">
        <v>155.98830334221199</v>
      </c>
    </row>
    <row r="74" spans="1:11" ht="21.75" customHeight="1">
      <c r="A74" s="21" t="s">
        <v>590</v>
      </c>
      <c r="B74" s="35">
        <v>111</v>
      </c>
      <c r="C74" s="35">
        <v>36.47</v>
      </c>
      <c r="D74" s="20">
        <v>34</v>
      </c>
      <c r="E74" s="20">
        <v>29</v>
      </c>
      <c r="F74" s="20">
        <v>26.6950936244051</v>
      </c>
      <c r="G74" s="20">
        <v>25.335999999999999</v>
      </c>
      <c r="H74" s="137">
        <v>28.175762990400699</v>
      </c>
      <c r="I74" s="137">
        <v>34.699896185853099</v>
      </c>
      <c r="J74" s="137">
        <v>34.451158070150697</v>
      </c>
      <c r="K74" s="137">
        <v>40.597790420973098</v>
      </c>
    </row>
    <row r="75" spans="1:11" ht="21.75" customHeight="1">
      <c r="A75" s="21" t="s">
        <v>645</v>
      </c>
      <c r="B75" s="35">
        <f>246+56</f>
        <v>302</v>
      </c>
      <c r="C75" s="35">
        <v>202</v>
      </c>
      <c r="D75" s="20">
        <v>209</v>
      </c>
      <c r="E75" s="20">
        <v>216</v>
      </c>
      <c r="F75" s="20">
        <v>225.32590916892701</v>
      </c>
      <c r="G75" s="20">
        <v>243.13927389781199</v>
      </c>
      <c r="H75" s="137">
        <v>240.091258842619</v>
      </c>
      <c r="I75" s="137">
        <v>202.91217433853899</v>
      </c>
      <c r="J75" s="137">
        <v>196.38559337174601</v>
      </c>
      <c r="K75" s="137">
        <v>199.10479908431</v>
      </c>
    </row>
    <row r="76" spans="1:11" ht="21.75" customHeight="1">
      <c r="A76" s="21" t="s">
        <v>640</v>
      </c>
      <c r="B76" s="35">
        <v>117</v>
      </c>
      <c r="C76" s="35">
        <v>49.46</v>
      </c>
      <c r="D76" s="20">
        <v>54</v>
      </c>
      <c r="E76" s="20">
        <v>40.773000000000003</v>
      </c>
      <c r="F76" s="20">
        <v>60.808631956256498</v>
      </c>
      <c r="G76" s="20">
        <v>63.302549361314</v>
      </c>
      <c r="H76" s="137">
        <v>48.711902968828198</v>
      </c>
      <c r="I76" s="137">
        <v>45.4470799571084</v>
      </c>
    </row>
    <row r="77" spans="1:11" ht="21.75" customHeight="1">
      <c r="A77" s="73" t="s">
        <v>672</v>
      </c>
      <c r="B77" s="148">
        <f t="shared" ref="B77:I77" si="12">SUM(B73:B76)</f>
        <v>950</v>
      </c>
      <c r="C77" s="74">
        <f t="shared" si="12"/>
        <v>562.93000000000006</v>
      </c>
      <c r="D77" s="75">
        <f t="shared" si="12"/>
        <v>542</v>
      </c>
      <c r="E77" s="75">
        <f t="shared" si="12"/>
        <v>517.77300000000002</v>
      </c>
      <c r="F77" s="75">
        <f t="shared" si="12"/>
        <v>483.94114576003562</v>
      </c>
      <c r="G77" s="75">
        <f t="shared" si="12"/>
        <v>484.189416822385</v>
      </c>
      <c r="H77" s="156">
        <f t="shared" si="12"/>
        <v>485.28787497118287</v>
      </c>
      <c r="I77" s="156">
        <f t="shared" si="12"/>
        <v>449.68163110077944</v>
      </c>
      <c r="J77" s="142">
        <v>430.547237720194</v>
      </c>
      <c r="K77" s="142">
        <v>435.67585091225402</v>
      </c>
    </row>
    <row r="78" spans="1:11" ht="21.75" customHeight="1">
      <c r="A78" s="78" t="s">
        <v>710</v>
      </c>
      <c r="B78" s="78"/>
      <c r="C78" s="78"/>
      <c r="D78" s="103"/>
      <c r="E78" s="103"/>
      <c r="F78" s="103"/>
      <c r="G78" s="103"/>
      <c r="H78" s="19"/>
      <c r="I78" s="19"/>
      <c r="J78" s="164">
        <f>J77/1000</f>
        <v>0.43054723772019399</v>
      </c>
      <c r="K78" s="164">
        <f>K77/1000</f>
        <v>0.43567585091225403</v>
      </c>
    </row>
    <row r="79" spans="1:11" ht="21.75" customHeight="1"/>
    <row r="80" spans="1:11" ht="21.75" customHeight="1">
      <c r="A80" s="134" t="s">
        <v>711</v>
      </c>
      <c r="B80" s="134"/>
      <c r="C80" s="134"/>
      <c r="D80" s="177"/>
      <c r="E80" s="177"/>
      <c r="F80" s="177"/>
      <c r="G80" s="177"/>
      <c r="H80" s="177"/>
      <c r="I80" s="177"/>
      <c r="J80" s="177"/>
      <c r="K80" s="177"/>
    </row>
    <row r="81" spans="1:9" ht="21.75" customHeight="1">
      <c r="A81" s="51" t="s">
        <v>712</v>
      </c>
    </row>
    <row r="82" spans="1:9" ht="21.75" customHeight="1">
      <c r="A82" s="740" t="s">
        <v>713</v>
      </c>
      <c r="B82" s="685"/>
    </row>
    <row r="83" spans="1:9" ht="25" customHeight="1">
      <c r="A83" s="740" t="s">
        <v>714</v>
      </c>
      <c r="B83" s="685"/>
      <c r="C83" s="685"/>
      <c r="D83" s="685"/>
      <c r="E83" s="685"/>
      <c r="F83" s="685"/>
      <c r="G83" s="685"/>
      <c r="H83" s="685"/>
      <c r="I83" s="685"/>
    </row>
    <row r="84" spans="1:9" ht="21.75" customHeight="1">
      <c r="A84" s="740" t="s">
        <v>715</v>
      </c>
      <c r="B84" s="685"/>
      <c r="C84" s="685"/>
      <c r="D84" s="685"/>
      <c r="E84" s="685"/>
      <c r="F84" s="685"/>
    </row>
    <row r="85" spans="1:9" ht="19.25" customHeight="1">
      <c r="A85" s="740" t="s">
        <v>716</v>
      </c>
      <c r="B85" s="685"/>
      <c r="C85" s="685"/>
      <c r="D85" s="685"/>
      <c r="E85" s="685"/>
      <c r="F85" s="685"/>
      <c r="G85" s="685"/>
      <c r="H85" s="685"/>
      <c r="I85" s="685"/>
    </row>
    <row r="86" spans="1:9" ht="18.25" customHeight="1">
      <c r="A86" s="740" t="s">
        <v>717</v>
      </c>
      <c r="B86" s="685"/>
      <c r="C86" s="685"/>
      <c r="D86" s="685"/>
      <c r="E86" s="685"/>
      <c r="F86" s="685"/>
      <c r="G86" s="685"/>
      <c r="H86" s="685"/>
      <c r="I86" s="685"/>
    </row>
    <row r="87" spans="1:9" ht="21.75" customHeight="1">
      <c r="A87" s="51" t="s">
        <v>718</v>
      </c>
    </row>
    <row r="88" spans="1:9" ht="21.75" customHeight="1">
      <c r="A88" s="51" t="s">
        <v>719</v>
      </c>
    </row>
    <row r="89" spans="1:9" ht="21.75" customHeight="1"/>
    <row r="90" spans="1:9" ht="21.75" customHeight="1">
      <c r="A90" s="134" t="s">
        <v>720</v>
      </c>
      <c r="B90" s="134"/>
      <c r="C90" s="134"/>
      <c r="D90" s="177"/>
      <c r="E90" s="177"/>
      <c r="F90" s="177"/>
      <c r="G90" s="177"/>
      <c r="H90" s="177"/>
      <c r="I90" s="177"/>
    </row>
    <row r="91" spans="1:9" ht="21.75" customHeight="1">
      <c r="A91" s="51" t="s">
        <v>721</v>
      </c>
    </row>
    <row r="92" spans="1:9" ht="21.75" customHeight="1">
      <c r="A92" s="51" t="s">
        <v>722</v>
      </c>
    </row>
    <row r="93" spans="1:9" ht="20.75" customHeight="1">
      <c r="A93" s="740" t="s">
        <v>714</v>
      </c>
      <c r="B93" s="685"/>
      <c r="C93" s="685"/>
      <c r="D93" s="685"/>
      <c r="E93" s="685"/>
      <c r="F93" s="685"/>
      <c r="G93" s="685"/>
      <c r="H93" s="685"/>
      <c r="I93" s="685"/>
    </row>
    <row r="94" spans="1:9" ht="21.75" customHeight="1">
      <c r="A94" s="740" t="s">
        <v>715</v>
      </c>
      <c r="B94" s="685"/>
      <c r="C94" s="685"/>
      <c r="D94" s="685"/>
      <c r="E94" s="685"/>
      <c r="F94" s="685"/>
      <c r="G94" s="685"/>
      <c r="H94" s="685"/>
      <c r="I94" s="685"/>
    </row>
    <row r="95" spans="1:9" ht="21.75" customHeight="1">
      <c r="A95" s="51" t="s">
        <v>718</v>
      </c>
    </row>
    <row r="96" spans="1:9" ht="20.75" customHeight="1">
      <c r="A96" s="740" t="s">
        <v>723</v>
      </c>
      <c r="B96" s="685"/>
      <c r="C96" s="685"/>
      <c r="D96" s="685"/>
      <c r="E96" s="685"/>
      <c r="F96" s="685"/>
      <c r="G96" s="685"/>
      <c r="H96" s="685"/>
      <c r="I96" s="685"/>
    </row>
    <row r="97" spans="1:9" ht="21.75" customHeight="1">
      <c r="A97" s="51" t="s">
        <v>719</v>
      </c>
    </row>
    <row r="98" spans="1:9" ht="21.75" customHeight="1"/>
    <row r="99" spans="1:9" ht="21.75" customHeight="1">
      <c r="A99" s="134" t="s">
        <v>724</v>
      </c>
      <c r="B99" s="134"/>
      <c r="C99" s="134"/>
      <c r="D99" s="177"/>
      <c r="E99" s="177"/>
      <c r="F99" s="177"/>
      <c r="G99" s="177"/>
      <c r="H99" s="177"/>
      <c r="I99" s="177"/>
    </row>
    <row r="100" spans="1:9" ht="21.75" customHeight="1">
      <c r="A100" s="740" t="s">
        <v>725</v>
      </c>
      <c r="B100" s="685"/>
      <c r="C100" s="685"/>
      <c r="D100" s="685"/>
      <c r="E100" s="685"/>
      <c r="F100" s="685"/>
      <c r="G100" s="685"/>
      <c r="H100" s="685"/>
      <c r="I100" s="685"/>
    </row>
    <row r="101" spans="1:9" ht="21.75" customHeight="1">
      <c r="A101" s="51" t="s">
        <v>726</v>
      </c>
    </row>
    <row r="102" spans="1:9" ht="21.75" customHeight="1">
      <c r="A102" s="51" t="s">
        <v>727</v>
      </c>
    </row>
    <row r="103" spans="1:9" ht="21.75" customHeight="1">
      <c r="A103" s="51" t="s">
        <v>728</v>
      </c>
    </row>
    <row r="104" spans="1:9" ht="21.75" customHeight="1">
      <c r="A104" s="51" t="s">
        <v>729</v>
      </c>
    </row>
    <row r="105" spans="1:9" ht="21.75" customHeight="1">
      <c r="A105" s="51" t="s">
        <v>730</v>
      </c>
    </row>
    <row r="106" spans="1:9" ht="21.75" customHeight="1">
      <c r="A106" s="51" t="s">
        <v>731</v>
      </c>
    </row>
    <row r="107" spans="1:9" ht="21.75" customHeight="1">
      <c r="A107" s="51" t="s">
        <v>732</v>
      </c>
    </row>
    <row r="108" spans="1:9" ht="21.75" customHeight="1">
      <c r="A108" s="51" t="s">
        <v>733</v>
      </c>
    </row>
    <row r="109" spans="1:9" ht="21.75" customHeight="1">
      <c r="A109" s="51" t="s">
        <v>734</v>
      </c>
    </row>
    <row r="110" spans="1:9" ht="21.75" customHeight="1">
      <c r="A110" s="51" t="s">
        <v>735</v>
      </c>
    </row>
    <row r="111" spans="1:9" ht="21.75" customHeight="1">
      <c r="A111" s="51" t="s">
        <v>736</v>
      </c>
    </row>
    <row r="112" spans="1:9" ht="21.75" customHeight="1">
      <c r="A112" s="51" t="s">
        <v>737</v>
      </c>
    </row>
    <row r="113" spans="1:11" ht="21.75" customHeight="1">
      <c r="A113" s="51" t="s">
        <v>738</v>
      </c>
    </row>
    <row r="114" spans="1:11" ht="21.75" customHeight="1">
      <c r="A114" s="51" t="s">
        <v>739</v>
      </c>
    </row>
    <row r="115" spans="1:11" ht="21.75" customHeight="1">
      <c r="A115" s="51" t="s">
        <v>740</v>
      </c>
    </row>
    <row r="116" spans="1:11" ht="21.75" customHeight="1">
      <c r="A116" s="740" t="s">
        <v>741</v>
      </c>
      <c r="B116" s="685"/>
      <c r="C116" s="685"/>
      <c r="D116" s="685"/>
    </row>
    <row r="117" spans="1:11" ht="22.5" customHeight="1">
      <c r="A117" s="740" t="s">
        <v>714</v>
      </c>
      <c r="B117" s="685"/>
      <c r="C117" s="685"/>
      <c r="D117" s="685"/>
      <c r="E117" s="685"/>
      <c r="F117" s="685"/>
      <c r="G117" s="685"/>
      <c r="H117" s="685"/>
      <c r="I117" s="685"/>
    </row>
    <row r="118" spans="1:11" ht="21.75" customHeight="1">
      <c r="A118" s="740" t="s">
        <v>742</v>
      </c>
      <c r="B118" s="685"/>
      <c r="C118" s="685"/>
      <c r="D118" s="685"/>
      <c r="E118" s="685"/>
      <c r="F118" s="685"/>
      <c r="G118" s="685"/>
      <c r="H118" s="685"/>
      <c r="I118" s="685"/>
    </row>
    <row r="119" spans="1:11" ht="21.75" customHeight="1"/>
    <row r="120" spans="1:11" ht="21.75" customHeight="1">
      <c r="A120" s="134" t="s">
        <v>743</v>
      </c>
      <c r="B120" s="134"/>
      <c r="C120" s="134"/>
      <c r="D120" s="177"/>
      <c r="E120" s="177"/>
      <c r="F120" s="177"/>
      <c r="G120" s="177"/>
      <c r="H120" s="177"/>
      <c r="I120" s="177"/>
      <c r="J120" s="177"/>
      <c r="K120" s="177"/>
    </row>
    <row r="121" spans="1:11" ht="21.75" customHeight="1">
      <c r="A121" s="134" t="s">
        <v>744</v>
      </c>
      <c r="B121" s="135">
        <v>2023</v>
      </c>
      <c r="C121" s="135">
        <v>2022</v>
      </c>
      <c r="D121" s="135">
        <v>2021</v>
      </c>
      <c r="E121" s="135">
        <v>2020</v>
      </c>
      <c r="F121" s="135">
        <v>2019</v>
      </c>
      <c r="G121" s="135">
        <v>2018</v>
      </c>
      <c r="H121" s="135">
        <v>2017</v>
      </c>
      <c r="I121" s="135">
        <v>2016</v>
      </c>
      <c r="J121" s="135">
        <v>2015</v>
      </c>
      <c r="K121" s="135">
        <v>2014</v>
      </c>
    </row>
    <row r="122" spans="1:11" ht="21.75" customHeight="1">
      <c r="A122" s="144" t="s">
        <v>589</v>
      </c>
      <c r="B122" s="165">
        <v>0.46</v>
      </c>
      <c r="C122" s="165">
        <v>0.45</v>
      </c>
      <c r="D122" s="165">
        <v>0.46</v>
      </c>
      <c r="E122" s="165">
        <v>0.4</v>
      </c>
      <c r="F122" s="165">
        <v>0.42</v>
      </c>
      <c r="G122" s="165">
        <v>0.4</v>
      </c>
      <c r="H122" s="165">
        <v>0.42</v>
      </c>
      <c r="I122" s="165">
        <v>0.43</v>
      </c>
      <c r="J122" s="177"/>
      <c r="K122" s="177"/>
    </row>
    <row r="123" spans="1:11" ht="21.75" customHeight="1">
      <c r="A123" s="21" t="s">
        <v>745</v>
      </c>
      <c r="B123" s="165">
        <v>0.64200000000000002</v>
      </c>
      <c r="C123" s="165">
        <v>0.63</v>
      </c>
      <c r="D123" s="165">
        <v>0.79</v>
      </c>
      <c r="E123" s="165">
        <v>0.59</v>
      </c>
      <c r="F123" s="165">
        <v>0.68839794805929699</v>
      </c>
      <c r="G123" s="165">
        <v>0</v>
      </c>
      <c r="H123" s="165">
        <v>0</v>
      </c>
      <c r="I123" s="165">
        <v>0</v>
      </c>
      <c r="J123" s="177"/>
      <c r="K123" s="177"/>
    </row>
    <row r="124" spans="1:11" ht="21.75" customHeight="1">
      <c r="A124" s="21" t="s">
        <v>676</v>
      </c>
      <c r="B124" s="165">
        <v>0.43</v>
      </c>
      <c r="C124" s="165">
        <v>0.42</v>
      </c>
      <c r="D124" s="165">
        <v>0.43</v>
      </c>
      <c r="E124" s="165">
        <v>0.37</v>
      </c>
      <c r="F124" s="165">
        <v>0.332051606441086</v>
      </c>
      <c r="G124" s="165">
        <v>0.37</v>
      </c>
      <c r="H124" s="165">
        <v>0.34108481424132497</v>
      </c>
      <c r="I124" s="165">
        <v>0.35125767648624001</v>
      </c>
      <c r="J124" s="177"/>
      <c r="K124" s="177"/>
    </row>
    <row r="125" spans="1:11" ht="21.75" customHeight="1">
      <c r="A125" s="21" t="s">
        <v>690</v>
      </c>
      <c r="B125" s="165">
        <v>0.44</v>
      </c>
      <c r="C125" s="165">
        <v>0.43</v>
      </c>
      <c r="D125" s="165">
        <v>0.4</v>
      </c>
      <c r="E125" s="165">
        <v>0.38</v>
      </c>
      <c r="F125" s="165">
        <v>0.408338223456298</v>
      </c>
      <c r="G125" s="165">
        <v>0.44400000000000001</v>
      </c>
      <c r="H125" s="165">
        <v>0.52500000000000002</v>
      </c>
      <c r="I125" s="165">
        <v>0.53729320634467004</v>
      </c>
      <c r="J125" s="165">
        <v>0.46</v>
      </c>
      <c r="K125" s="165">
        <v>0.72</v>
      </c>
    </row>
    <row r="126" spans="1:11" ht="21.75" customHeight="1">
      <c r="A126" s="21" t="s">
        <v>678</v>
      </c>
      <c r="B126" s="165">
        <v>0.28000000000000003</v>
      </c>
      <c r="C126" s="165">
        <v>0.26</v>
      </c>
      <c r="D126" s="165">
        <v>0.26</v>
      </c>
      <c r="E126" s="165">
        <v>0.26</v>
      </c>
      <c r="F126" s="165">
        <v>0.41408844282014601</v>
      </c>
      <c r="G126" s="165">
        <v>0.373</v>
      </c>
      <c r="H126" s="165">
        <v>0.34</v>
      </c>
      <c r="I126" s="165">
        <v>0.34499202219616998</v>
      </c>
      <c r="J126" s="165">
        <v>0.34</v>
      </c>
      <c r="K126" s="165">
        <v>0.37</v>
      </c>
    </row>
    <row r="127" spans="1:11" ht="21.75" customHeight="1">
      <c r="A127" s="144" t="s">
        <v>604</v>
      </c>
      <c r="B127" s="165">
        <v>1.43</v>
      </c>
      <c r="C127" s="165">
        <v>1.57</v>
      </c>
      <c r="D127" s="165">
        <v>1.71</v>
      </c>
      <c r="E127" s="165">
        <v>1.87</v>
      </c>
      <c r="F127" s="165">
        <v>2.11121895664821</v>
      </c>
      <c r="G127" s="165">
        <v>2.8130000000000002</v>
      </c>
      <c r="H127" s="165">
        <v>1.78</v>
      </c>
      <c r="I127" s="165">
        <v>1.92</v>
      </c>
      <c r="J127" s="165">
        <v>2.5</v>
      </c>
      <c r="K127" s="165">
        <v>2.48</v>
      </c>
    </row>
    <row r="128" spans="1:11" ht="21.75" customHeight="1">
      <c r="A128" s="144" t="s">
        <v>645</v>
      </c>
      <c r="B128" s="165">
        <v>0.8</v>
      </c>
      <c r="C128" s="165">
        <v>0.79</v>
      </c>
      <c r="D128" s="165">
        <v>0.77735090408371199</v>
      </c>
      <c r="E128" s="165">
        <v>0.88226469900371896</v>
      </c>
      <c r="F128" s="165">
        <v>0.91827166371594005</v>
      </c>
      <c r="G128" s="165">
        <v>0.91538729483811399</v>
      </c>
      <c r="H128" s="165">
        <v>0.93949416704411903</v>
      </c>
      <c r="I128" s="165">
        <v>0.96261769870018499</v>
      </c>
    </row>
    <row r="129" spans="1:11" ht="21.75" customHeight="1">
      <c r="A129" s="21" t="s">
        <v>691</v>
      </c>
      <c r="B129" s="166">
        <v>0.86</v>
      </c>
      <c r="C129" s="166">
        <v>0.77</v>
      </c>
      <c r="D129" s="166">
        <v>0.72433658589984995</v>
      </c>
      <c r="E129" s="166">
        <v>0.95087450403148399</v>
      </c>
      <c r="F129" s="166">
        <v>1.0029681619034401</v>
      </c>
      <c r="G129" s="166">
        <v>1.1944037539225201</v>
      </c>
      <c r="H129" s="167">
        <v>1.3721676752679499</v>
      </c>
      <c r="I129" s="167">
        <v>1.1846702585417599</v>
      </c>
      <c r="J129" s="165">
        <v>0.62</v>
      </c>
      <c r="K129" s="165">
        <v>0.46</v>
      </c>
    </row>
    <row r="130" spans="1:11" ht="21.75" customHeight="1">
      <c r="A130" s="21" t="s">
        <v>680</v>
      </c>
      <c r="B130" s="165">
        <v>0.78</v>
      </c>
      <c r="C130" s="165">
        <v>0.79</v>
      </c>
      <c r="D130" s="165">
        <v>0.80262911150175298</v>
      </c>
      <c r="E130" s="165">
        <v>0.853197571674297</v>
      </c>
      <c r="F130" s="165">
        <v>0.88427025395008696</v>
      </c>
      <c r="G130" s="165">
        <v>0.81925227606858397</v>
      </c>
      <c r="H130" s="165">
        <v>0.83155038316927798</v>
      </c>
      <c r="I130" s="165">
        <v>0.90487190781150895</v>
      </c>
      <c r="J130" s="165">
        <v>0.48</v>
      </c>
      <c r="K130" s="165">
        <v>0.43</v>
      </c>
    </row>
    <row r="131" spans="1:11" ht="21.75" customHeight="1">
      <c r="A131" s="144" t="s">
        <v>746</v>
      </c>
      <c r="B131" s="165">
        <v>0.21</v>
      </c>
      <c r="C131" s="165">
        <v>0.22</v>
      </c>
      <c r="D131" s="165">
        <v>0.31697847897373399</v>
      </c>
      <c r="E131" s="165">
        <v>0.29942904676183402</v>
      </c>
      <c r="F131" s="165">
        <v>0.246013866366566</v>
      </c>
      <c r="G131" s="165">
        <v>0.19740358251842299</v>
      </c>
      <c r="H131" s="165">
        <v>0.19889063369229501</v>
      </c>
      <c r="I131" s="165">
        <v>0.25313467886257701</v>
      </c>
      <c r="J131" s="165">
        <v>0.27</v>
      </c>
      <c r="K131" s="165">
        <v>0.16</v>
      </c>
    </row>
    <row r="132" spans="1:11" ht="21.75" customHeight="1">
      <c r="A132" s="73" t="s">
        <v>747</v>
      </c>
      <c r="B132" s="168">
        <v>0.66</v>
      </c>
      <c r="C132" s="168">
        <v>0.67</v>
      </c>
      <c r="D132" s="169">
        <v>0.69715913592774703</v>
      </c>
      <c r="E132" s="169">
        <v>0.68961152463890096</v>
      </c>
      <c r="F132" s="169">
        <v>0.730206520084278</v>
      </c>
      <c r="G132" s="169">
        <v>0.72983159343606496</v>
      </c>
      <c r="H132" s="170">
        <v>0.73167856878317705</v>
      </c>
      <c r="I132" s="170">
        <v>0.76273448303664604</v>
      </c>
      <c r="J132" s="170">
        <v>0.59</v>
      </c>
      <c r="K132" s="170">
        <v>0.55000000000000004</v>
      </c>
    </row>
    <row r="133" spans="1:11" ht="21.75" customHeight="1">
      <c r="A133" s="78" t="s">
        <v>748</v>
      </c>
      <c r="B133" s="78"/>
      <c r="C133" s="103"/>
      <c r="D133" s="179"/>
      <c r="E133" s="105"/>
      <c r="F133" s="105"/>
      <c r="G133" s="105"/>
      <c r="H133" s="131"/>
      <c r="I133" s="131"/>
      <c r="J133" s="131"/>
      <c r="K133" s="131"/>
    </row>
    <row r="134" spans="1:11" ht="21.75" customHeight="1">
      <c r="A134" s="51" t="s">
        <v>749</v>
      </c>
    </row>
    <row r="135" spans="1:11" ht="21.75" customHeight="1">
      <c r="A135" s="740" t="s">
        <v>750</v>
      </c>
      <c r="B135" s="685"/>
      <c r="C135" s="685"/>
      <c r="D135" s="685"/>
      <c r="E135" s="685"/>
      <c r="F135" s="685"/>
      <c r="G135" s="685"/>
    </row>
    <row r="136" spans="1:11" ht="21.75" customHeight="1"/>
    <row r="137" spans="1:11" ht="21.75" customHeight="1"/>
    <row r="138" spans="1:11" ht="21.75" customHeight="1">
      <c r="A138" s="134" t="s">
        <v>751</v>
      </c>
      <c r="B138" s="134"/>
      <c r="C138" s="134"/>
      <c r="D138" s="134"/>
      <c r="E138" s="134"/>
      <c r="F138" s="134"/>
      <c r="G138" s="134"/>
      <c r="H138" s="134"/>
      <c r="I138" s="134"/>
    </row>
    <row r="139" spans="1:11" ht="21.75" customHeight="1">
      <c r="A139" s="134" t="s">
        <v>744</v>
      </c>
      <c r="B139" s="135">
        <v>2023</v>
      </c>
      <c r="C139" s="135">
        <v>2022</v>
      </c>
      <c r="D139" s="135">
        <v>2021</v>
      </c>
      <c r="E139" s="135">
        <v>2020</v>
      </c>
      <c r="F139" s="135">
        <v>2019</v>
      </c>
      <c r="G139" s="135">
        <v>2018</v>
      </c>
      <c r="H139" s="135">
        <v>2017</v>
      </c>
      <c r="I139" s="135">
        <v>2016</v>
      </c>
      <c r="J139" s="171">
        <v>2015</v>
      </c>
      <c r="K139" s="171">
        <v>2014</v>
      </c>
    </row>
    <row r="140" spans="1:11" ht="21.75" customHeight="1">
      <c r="A140" s="144" t="s">
        <v>589</v>
      </c>
      <c r="B140" s="172">
        <v>10.88</v>
      </c>
      <c r="C140" s="165">
        <v>9.4600000000000009</v>
      </c>
      <c r="D140" s="165">
        <v>9.69</v>
      </c>
      <c r="E140" s="165">
        <v>10.417</v>
      </c>
      <c r="F140" s="165">
        <v>10.214</v>
      </c>
      <c r="G140" s="165">
        <v>13.28</v>
      </c>
      <c r="H140" s="165">
        <v>8.0210000000000008</v>
      </c>
      <c r="I140" s="165">
        <v>7.7629999999999999</v>
      </c>
      <c r="J140" s="180"/>
      <c r="K140" s="180"/>
    </row>
    <row r="141" spans="1:11" ht="21.75" customHeight="1">
      <c r="A141" s="21" t="s">
        <v>745</v>
      </c>
      <c r="B141" s="165">
        <v>5.88</v>
      </c>
      <c r="C141" s="165">
        <v>5.3</v>
      </c>
      <c r="D141" s="165">
        <v>4.9400000000000004</v>
      </c>
      <c r="E141" s="165">
        <v>5.766</v>
      </c>
      <c r="F141" s="165">
        <v>3.4359999999999999</v>
      </c>
      <c r="G141" s="24" t="s">
        <v>625</v>
      </c>
      <c r="J141" s="180"/>
      <c r="K141" s="180"/>
    </row>
    <row r="142" spans="1:11" ht="21.75" customHeight="1">
      <c r="A142" s="21" t="s">
        <v>676</v>
      </c>
      <c r="B142" s="165">
        <v>57.07</v>
      </c>
      <c r="C142" s="165">
        <v>52.43</v>
      </c>
      <c r="D142" s="165">
        <v>45.6</v>
      </c>
      <c r="E142" s="165">
        <v>42.795999999999999</v>
      </c>
      <c r="F142" s="165">
        <v>38.957000000000001</v>
      </c>
      <c r="G142" s="165">
        <v>44.694000000000003</v>
      </c>
      <c r="H142" s="165">
        <v>44.279000000000003</v>
      </c>
      <c r="I142" s="165">
        <v>47.34</v>
      </c>
      <c r="J142" s="180"/>
      <c r="K142" s="180"/>
    </row>
    <row r="143" spans="1:11" ht="21.75" customHeight="1">
      <c r="A143" s="21" t="s">
        <v>690</v>
      </c>
      <c r="B143" s="165">
        <v>18.3</v>
      </c>
      <c r="C143" s="165">
        <v>10.5</v>
      </c>
      <c r="D143" s="165">
        <v>14.61</v>
      </c>
      <c r="E143" s="165">
        <v>10.946</v>
      </c>
      <c r="F143" s="165">
        <v>9.9770000000000003</v>
      </c>
      <c r="G143" s="165">
        <v>7.51</v>
      </c>
      <c r="H143" s="165">
        <v>4.4779999999999998</v>
      </c>
      <c r="I143" s="165">
        <v>4.3760000000000003</v>
      </c>
      <c r="J143" s="165">
        <v>7.1219999999999999</v>
      </c>
      <c r="K143" s="165">
        <v>4.43</v>
      </c>
    </row>
    <row r="144" spans="1:11" ht="21.75" customHeight="1">
      <c r="A144" s="21" t="s">
        <v>678</v>
      </c>
      <c r="B144" s="165">
        <v>12.85</v>
      </c>
      <c r="C144" s="165">
        <v>24.52</v>
      </c>
      <c r="D144" s="165">
        <v>30.18</v>
      </c>
      <c r="E144" s="165">
        <v>30.111000000000001</v>
      </c>
      <c r="F144" s="165">
        <v>46.317</v>
      </c>
      <c r="G144" s="165">
        <v>45.658999999999999</v>
      </c>
      <c r="H144" s="165">
        <v>43.363999999999997</v>
      </c>
      <c r="I144" s="165">
        <v>39.32</v>
      </c>
      <c r="J144" s="165">
        <v>41.276000000000003</v>
      </c>
      <c r="K144" s="165">
        <v>16.149999999999999</v>
      </c>
    </row>
    <row r="145" spans="1:11" ht="21.75" customHeight="1">
      <c r="A145" s="144" t="s">
        <v>604</v>
      </c>
      <c r="B145" s="172">
        <v>231.31</v>
      </c>
      <c r="C145" s="165">
        <v>282.41000000000003</v>
      </c>
      <c r="D145" s="165">
        <v>288.41000000000003</v>
      </c>
      <c r="E145" s="165">
        <v>348.8</v>
      </c>
      <c r="F145" s="165">
        <v>407.19</v>
      </c>
      <c r="G145" s="165">
        <v>425.37</v>
      </c>
      <c r="H145" s="165">
        <v>304.31900000000002</v>
      </c>
      <c r="I145" s="165">
        <v>306.91000000000003</v>
      </c>
      <c r="J145" s="165">
        <v>387.00790000000001</v>
      </c>
      <c r="K145" s="165">
        <v>376.37</v>
      </c>
    </row>
    <row r="146" spans="1:11" ht="21.75" customHeight="1">
      <c r="A146" s="144" t="s">
        <v>645</v>
      </c>
      <c r="B146" s="172">
        <v>5.59</v>
      </c>
      <c r="C146" s="165">
        <v>5.49</v>
      </c>
      <c r="D146" s="165">
        <v>5.2142099920999199</v>
      </c>
      <c r="E146" s="165">
        <v>5.5954038125988399</v>
      </c>
      <c r="F146" s="165">
        <v>5.2755600772412601</v>
      </c>
      <c r="G146" s="165">
        <v>4.7645858051547503</v>
      </c>
      <c r="H146" s="165">
        <v>4.6476236909664097</v>
      </c>
      <c r="I146" s="165">
        <v>5.7416340647115103</v>
      </c>
    </row>
    <row r="147" spans="1:11" ht="21.75" customHeight="1">
      <c r="A147" s="21" t="s">
        <v>691</v>
      </c>
      <c r="B147" s="165">
        <v>13.03</v>
      </c>
      <c r="C147" s="165">
        <v>8.32</v>
      </c>
      <c r="D147" s="165">
        <v>7.6711032454280303</v>
      </c>
      <c r="E147" s="165">
        <v>7.2531432435391103</v>
      </c>
      <c r="F147" s="165">
        <v>6.12935425407382</v>
      </c>
      <c r="G147" s="165">
        <v>4.7021302394562099</v>
      </c>
      <c r="H147" s="165">
        <v>4.9589895316440904</v>
      </c>
      <c r="I147" s="165">
        <v>9.2859317766391598</v>
      </c>
      <c r="J147" s="165">
        <v>4.8109999999999999</v>
      </c>
      <c r="K147" s="165">
        <v>4.1500000000000004</v>
      </c>
    </row>
    <row r="148" spans="1:11" ht="21.75" customHeight="1">
      <c r="A148" s="21" t="s">
        <v>680</v>
      </c>
      <c r="B148" s="165">
        <v>4.76</v>
      </c>
      <c r="C148" s="165">
        <v>4.8099999999999996</v>
      </c>
      <c r="D148" s="165">
        <v>4.5671776386029999</v>
      </c>
      <c r="E148" s="165">
        <v>4.5671776386029999</v>
      </c>
      <c r="F148" s="165">
        <v>5.0503934654523297</v>
      </c>
      <c r="G148" s="165">
        <v>4.9609062039072196</v>
      </c>
      <c r="H148" s="165">
        <v>4.7965890711755099</v>
      </c>
      <c r="I148" s="165">
        <v>4.5378901199321797</v>
      </c>
      <c r="J148" s="165">
        <v>2.968</v>
      </c>
      <c r="K148" s="165">
        <v>2.98</v>
      </c>
    </row>
    <row r="149" spans="1:11" ht="21.75" customHeight="1">
      <c r="A149" s="144" t="s">
        <v>746</v>
      </c>
      <c r="B149" s="172">
        <v>2.0299999999999998</v>
      </c>
      <c r="C149" s="165">
        <v>1.93</v>
      </c>
      <c r="D149" s="165">
        <v>2.7808731550052399</v>
      </c>
      <c r="E149" s="165">
        <v>3.40198264157342</v>
      </c>
      <c r="F149" s="165">
        <v>3.22273803248518</v>
      </c>
      <c r="G149" s="165">
        <v>2.8471381972042198</v>
      </c>
      <c r="H149" s="165">
        <v>3.8744113277386001</v>
      </c>
      <c r="I149" s="165">
        <v>4.7328677713252496</v>
      </c>
      <c r="J149" s="165">
        <v>6.0679999999999996</v>
      </c>
      <c r="K149" s="165">
        <v>4.45</v>
      </c>
    </row>
    <row r="150" spans="1:11" ht="21.75" customHeight="1">
      <c r="A150" s="73" t="s">
        <v>747</v>
      </c>
      <c r="B150" s="168">
        <v>9.1300000000000008</v>
      </c>
      <c r="C150" s="169">
        <v>8.68</v>
      </c>
      <c r="D150" s="169">
        <v>8.5500375054182793</v>
      </c>
      <c r="E150" s="169">
        <v>8.8339278222160207</v>
      </c>
      <c r="F150" s="169">
        <v>8.5036690300038504</v>
      </c>
      <c r="G150" s="169">
        <v>8.1313164514258194</v>
      </c>
      <c r="H150" s="170">
        <v>7.8497637882523703</v>
      </c>
      <c r="I150" s="170">
        <v>9.0824685618326502</v>
      </c>
      <c r="J150" s="165">
        <v>7.98</v>
      </c>
      <c r="K150" s="165">
        <v>8.7100000000000009</v>
      </c>
    </row>
    <row r="151" spans="1:11" ht="21.75" customHeight="1">
      <c r="A151" s="78" t="s">
        <v>752</v>
      </c>
      <c r="B151" s="78"/>
      <c r="C151" s="78"/>
      <c r="D151" s="78"/>
      <c r="E151" s="78"/>
      <c r="F151" s="78"/>
      <c r="G151" s="78"/>
      <c r="H151" s="181"/>
      <c r="I151" s="30"/>
    </row>
    <row r="152" spans="1:11" ht="21.75" customHeight="1">
      <c r="A152" s="51" t="s">
        <v>748</v>
      </c>
    </row>
    <row r="153" spans="1:11" ht="21.75" customHeight="1">
      <c r="A153" s="51" t="s">
        <v>753</v>
      </c>
    </row>
    <row r="154" spans="1:11" ht="21.75" customHeight="1">
      <c r="A154" s="740" t="s">
        <v>750</v>
      </c>
      <c r="B154" s="685"/>
      <c r="C154" s="685"/>
      <c r="D154" s="685"/>
    </row>
    <row r="155" spans="1:11" ht="21.75" customHeight="1"/>
    <row r="156" spans="1:11" ht="21.75" customHeight="1">
      <c r="A156" s="134" t="s">
        <v>326</v>
      </c>
      <c r="B156" s="135">
        <v>2023</v>
      </c>
      <c r="C156" s="135">
        <v>2022</v>
      </c>
      <c r="D156" s="135">
        <v>2021</v>
      </c>
      <c r="E156" s="135">
        <v>2020</v>
      </c>
      <c r="F156" s="135">
        <v>2019</v>
      </c>
      <c r="G156" s="135">
        <v>2018</v>
      </c>
      <c r="H156" s="135">
        <v>2017</v>
      </c>
      <c r="I156" s="135">
        <v>2016</v>
      </c>
      <c r="J156" s="171">
        <v>2015</v>
      </c>
      <c r="K156" s="180"/>
    </row>
    <row r="157" spans="1:11" ht="21.75" customHeight="1">
      <c r="A157" s="51" t="s">
        <v>754</v>
      </c>
      <c r="B157" s="173">
        <v>201</v>
      </c>
      <c r="C157" s="173">
        <v>302</v>
      </c>
      <c r="D157" s="173">
        <v>306</v>
      </c>
      <c r="E157" s="173">
        <v>177</v>
      </c>
      <c r="F157" s="173">
        <v>128</v>
      </c>
      <c r="G157" s="173">
        <v>113</v>
      </c>
      <c r="H157" s="174">
        <v>90</v>
      </c>
      <c r="I157" s="174">
        <v>16</v>
      </c>
      <c r="J157" s="165">
        <v>108.55200000000001</v>
      </c>
    </row>
    <row r="158" spans="1:11" ht="23.25" customHeight="1">
      <c r="A158" s="740" t="s">
        <v>755</v>
      </c>
      <c r="B158" s="685"/>
      <c r="C158" s="685"/>
      <c r="D158" s="685"/>
      <c r="E158" s="685"/>
      <c r="F158" s="685"/>
      <c r="G158" s="685"/>
    </row>
    <row r="159" spans="1:11" ht="30.75" customHeight="1">
      <c r="A159" s="740" t="s">
        <v>756</v>
      </c>
      <c r="B159" s="685"/>
      <c r="C159" s="685"/>
      <c r="D159" s="685"/>
      <c r="E159" s="685"/>
      <c r="F159" s="685"/>
      <c r="G159" s="685"/>
    </row>
    <row r="160" spans="1:11" ht="30.75" customHeight="1">
      <c r="A160" s="740" t="s">
        <v>757</v>
      </c>
      <c r="B160" s="685"/>
      <c r="C160" s="685"/>
      <c r="D160" s="685"/>
      <c r="E160" s="685"/>
      <c r="F160" s="685"/>
      <c r="G160" s="685"/>
    </row>
    <row r="161" spans="1:11" ht="21.75" customHeight="1">
      <c r="A161" s="51" t="s">
        <v>758</v>
      </c>
    </row>
    <row r="162" spans="1:11" ht="21.75" customHeight="1">
      <c r="A162" s="740" t="s">
        <v>759</v>
      </c>
      <c r="B162" s="685"/>
      <c r="C162" s="685"/>
      <c r="D162" s="685"/>
      <c r="E162" s="685"/>
      <c r="F162" s="685"/>
      <c r="G162" s="685"/>
    </row>
    <row r="163" spans="1:11" ht="21.75" customHeight="1">
      <c r="A163" s="51" t="s">
        <v>760</v>
      </c>
    </row>
    <row r="164" spans="1:11" ht="21.75" customHeight="1">
      <c r="A164" s="51" t="s">
        <v>761</v>
      </c>
    </row>
    <row r="165" spans="1:11" ht="21.75" customHeight="1"/>
    <row r="166" spans="1:11" ht="21.75" customHeight="1">
      <c r="A166" s="134" t="s">
        <v>762</v>
      </c>
      <c r="B166" s="134"/>
      <c r="C166" s="134"/>
      <c r="D166" s="177"/>
      <c r="E166" s="177"/>
      <c r="F166" s="177"/>
      <c r="G166" s="177"/>
      <c r="H166" s="177"/>
      <c r="I166" s="177"/>
      <c r="J166" s="180"/>
      <c r="K166" s="180"/>
    </row>
    <row r="167" spans="1:11" ht="21.75" customHeight="1">
      <c r="A167" s="134" t="s">
        <v>763</v>
      </c>
      <c r="B167" s="135">
        <v>2023</v>
      </c>
      <c r="C167" s="135">
        <v>2022</v>
      </c>
      <c r="D167" s="135">
        <v>2021</v>
      </c>
      <c r="E167" s="135">
        <v>2020</v>
      </c>
      <c r="F167" s="135">
        <v>2019</v>
      </c>
      <c r="G167" s="135">
        <v>2018</v>
      </c>
      <c r="H167" s="135">
        <v>2017</v>
      </c>
      <c r="I167" s="135">
        <v>2016</v>
      </c>
      <c r="J167" s="171">
        <v>2015</v>
      </c>
      <c r="K167" s="171">
        <v>2014</v>
      </c>
    </row>
    <row r="168" spans="1:11" ht="21.75" customHeight="1">
      <c r="A168" s="21" t="s">
        <v>764</v>
      </c>
      <c r="B168" s="20">
        <v>18519</v>
      </c>
      <c r="C168" s="20">
        <v>18842.189999999999</v>
      </c>
      <c r="D168" s="20">
        <v>19317.558641168602</v>
      </c>
      <c r="E168" s="20">
        <v>17943.393764521199</v>
      </c>
      <c r="F168" s="20">
        <v>18050.824027211002</v>
      </c>
      <c r="G168" s="20">
        <v>18342.62</v>
      </c>
      <c r="H168" s="175">
        <v>19853.101231320001</v>
      </c>
      <c r="I168" s="175">
        <v>18672.750669094999</v>
      </c>
      <c r="J168" s="175">
        <v>18350.13</v>
      </c>
      <c r="K168" s="175">
        <v>17725.169999999998</v>
      </c>
    </row>
    <row r="169" spans="1:11" ht="21.75" customHeight="1">
      <c r="A169" s="21" t="s">
        <v>765</v>
      </c>
      <c r="B169" s="20">
        <v>3009</v>
      </c>
      <c r="C169" s="20">
        <v>3115.84</v>
      </c>
      <c r="D169" s="20">
        <v>3160.7806021280098</v>
      </c>
      <c r="E169" s="20">
        <v>3029.1023000639998</v>
      </c>
      <c r="F169" s="20">
        <v>3111.426532</v>
      </c>
      <c r="G169" s="20">
        <v>2889.51</v>
      </c>
      <c r="H169" s="175">
        <v>3013.5447064</v>
      </c>
      <c r="I169" s="175">
        <v>2777.2962120000002</v>
      </c>
      <c r="J169" s="175">
        <v>2722.53</v>
      </c>
      <c r="K169" s="175">
        <v>2358.7600000000002</v>
      </c>
    </row>
    <row r="170" spans="1:11" ht="21.75" customHeight="1">
      <c r="B170" s="56">
        <f t="shared" ref="B170:K170" si="13">SUM(B168:B169)</f>
        <v>21528</v>
      </c>
      <c r="C170" s="20">
        <f t="shared" si="13"/>
        <v>21958.03</v>
      </c>
      <c r="D170" s="20">
        <f t="shared" si="13"/>
        <v>22478.33924329661</v>
      </c>
      <c r="E170" s="20">
        <f t="shared" si="13"/>
        <v>20972.496064585197</v>
      </c>
      <c r="F170" s="20">
        <f t="shared" si="13"/>
        <v>21162.250559211003</v>
      </c>
      <c r="G170" s="20">
        <f t="shared" si="13"/>
        <v>21232.129999999997</v>
      </c>
      <c r="H170" s="175">
        <f t="shared" si="13"/>
        <v>22866.645937720001</v>
      </c>
      <c r="I170" s="175">
        <f t="shared" si="13"/>
        <v>21450.046881095001</v>
      </c>
      <c r="J170" s="175">
        <f t="shared" si="13"/>
        <v>21072.66</v>
      </c>
      <c r="K170" s="175">
        <f t="shared" si="13"/>
        <v>20083.93</v>
      </c>
    </row>
    <row r="171" spans="1:11" ht="21.75" customHeight="1">
      <c r="A171" s="21" t="s">
        <v>766</v>
      </c>
    </row>
    <row r="172" spans="1:11" ht="21.75" customHeight="1">
      <c r="A172" s="73" t="s">
        <v>767</v>
      </c>
    </row>
    <row r="173" spans="1:11" ht="25.75" customHeight="1">
      <c r="A173" s="743" t="s">
        <v>768</v>
      </c>
      <c r="B173" s="743"/>
      <c r="C173" s="743"/>
      <c r="D173" s="743"/>
      <c r="E173" s="78"/>
      <c r="F173" s="78"/>
      <c r="G173" s="78"/>
      <c r="H173" s="30"/>
      <c r="I173" s="30"/>
    </row>
    <row r="174" spans="1:11" ht="21.75" customHeight="1">
      <c r="A174" s="740" t="s">
        <v>769</v>
      </c>
      <c r="B174" s="685"/>
      <c r="C174" s="685"/>
      <c r="D174" s="685"/>
    </row>
    <row r="175" spans="1:11" ht="21.75" customHeight="1">
      <c r="A175" s="740" t="s">
        <v>770</v>
      </c>
      <c r="B175" s="685"/>
      <c r="C175" s="685"/>
      <c r="D175" s="685"/>
    </row>
  </sheetData>
  <sheetProtection algorithmName="SHA-512" hashValue="gHctDAYB6g+/N2Wllc3sYASfovXpoJFD/xQXx99SOTUojD0p/RxlLOgbT0laFVeNOJghKsm9KQkhV7jMW17qKw==" saltValue="rGk89RUFKw++yuLKhxZQBA==" spinCount="100000" sheet="1" objects="1" scenarios="1"/>
  <mergeCells count="25">
    <mergeCell ref="A175:D175"/>
    <mergeCell ref="A159:G159"/>
    <mergeCell ref="A160:G160"/>
    <mergeCell ref="A162:G162"/>
    <mergeCell ref="A174:D174"/>
    <mergeCell ref="A173:D173"/>
    <mergeCell ref="A118:I118"/>
    <mergeCell ref="A116:D116"/>
    <mergeCell ref="A135:G135"/>
    <mergeCell ref="A154:D154"/>
    <mergeCell ref="A158:G158"/>
    <mergeCell ref="A93:I93"/>
    <mergeCell ref="A94:I94"/>
    <mergeCell ref="A96:I96"/>
    <mergeCell ref="A100:I100"/>
    <mergeCell ref="A117:I117"/>
    <mergeCell ref="A9:B9"/>
    <mergeCell ref="A25:B25"/>
    <mergeCell ref="A45:B45"/>
    <mergeCell ref="A68:C68"/>
    <mergeCell ref="A86:I86"/>
    <mergeCell ref="A85:I85"/>
    <mergeCell ref="A83:I83"/>
    <mergeCell ref="A84:F84"/>
    <mergeCell ref="A82:B8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17"/>
  <sheetViews>
    <sheetView showGridLines="0" showRuler="0" workbookViewId="0">
      <selection activeCell="B6" sqref="B6:B7"/>
    </sheetView>
  </sheetViews>
  <sheetFormatPr baseColWidth="10" defaultColWidth="12.83203125" defaultRowHeight="13"/>
  <cols>
    <col min="1" max="1" width="64.1640625" customWidth="1"/>
    <col min="2" max="2" width="15.6640625" customWidth="1"/>
    <col min="3" max="3" width="16.33203125" customWidth="1"/>
    <col min="4" max="9" width="14.33203125" customWidth="1"/>
    <col min="10" max="11" width="0" hidden="1"/>
    <col min="12" max="12" width="23.5" customWidth="1"/>
    <col min="13" max="13" width="31.83203125" customWidth="1"/>
    <col min="14" max="14" width="20.6640625" customWidth="1"/>
  </cols>
  <sheetData>
    <row r="1" spans="1:14" ht="21.75" customHeight="1">
      <c r="A1" s="32" t="s">
        <v>771</v>
      </c>
      <c r="B1" s="32"/>
      <c r="C1" s="32"/>
      <c r="D1" s="32"/>
      <c r="E1" s="32"/>
      <c r="F1" s="32"/>
      <c r="G1" s="32"/>
      <c r="H1" s="32"/>
      <c r="I1" s="32"/>
      <c r="J1" s="32"/>
      <c r="K1" s="32"/>
    </row>
    <row r="2" spans="1:14" ht="21.75" customHeight="1"/>
    <row r="3" spans="1:14" ht="21.75" customHeight="1">
      <c r="A3" s="32" t="s">
        <v>772</v>
      </c>
      <c r="B3" s="182">
        <v>2023</v>
      </c>
      <c r="C3" s="182">
        <v>2022</v>
      </c>
      <c r="D3" s="33">
        <v>2021</v>
      </c>
      <c r="E3" s="33">
        <v>2020</v>
      </c>
      <c r="F3" s="33">
        <v>2019</v>
      </c>
      <c r="G3" s="33">
        <v>2018</v>
      </c>
      <c r="H3" s="33">
        <v>2017</v>
      </c>
      <c r="I3" s="33">
        <v>2016</v>
      </c>
      <c r="J3" s="33">
        <v>2015</v>
      </c>
      <c r="K3" s="33">
        <v>2014</v>
      </c>
    </row>
    <row r="4" spans="1:14" ht="21.75" customHeight="1">
      <c r="A4" s="667" t="s">
        <v>1716</v>
      </c>
      <c r="B4" s="668">
        <v>6658</v>
      </c>
      <c r="C4" s="668">
        <v>6975</v>
      </c>
      <c r="D4" s="668">
        <v>7051.6737481498903</v>
      </c>
      <c r="E4" s="669">
        <v>6709.7991487111003</v>
      </c>
      <c r="F4" s="668">
        <v>6667.53513544007</v>
      </c>
      <c r="G4" s="668">
        <v>6330.9466379000396</v>
      </c>
      <c r="H4" s="668">
        <v>6607.4335131247699</v>
      </c>
      <c r="I4" s="669">
        <v>6096.7626935506296</v>
      </c>
      <c r="J4" s="34">
        <v>6930.33</v>
      </c>
      <c r="K4" s="34">
        <v>6065.94</v>
      </c>
      <c r="L4" s="31"/>
      <c r="M4" s="31"/>
      <c r="N4" s="31"/>
    </row>
    <row r="5" spans="1:14" ht="21.75" customHeight="1">
      <c r="A5" s="670" t="s">
        <v>1717</v>
      </c>
      <c r="B5" s="682">
        <v>7136.59</v>
      </c>
      <c r="C5" s="608">
        <v>6905</v>
      </c>
      <c r="D5" s="608">
        <v>6674.4108841529796</v>
      </c>
      <c r="E5" s="608">
        <v>6326.3891819990804</v>
      </c>
      <c r="F5" s="608">
        <v>5735.8425800000396</v>
      </c>
      <c r="G5" s="608">
        <v>5196.6827621481998</v>
      </c>
      <c r="H5" s="608">
        <v>5459.5218141086098</v>
      </c>
      <c r="I5" s="608">
        <v>5490.87</v>
      </c>
      <c r="J5" s="34"/>
      <c r="K5" s="34"/>
      <c r="L5" s="31"/>
      <c r="M5" s="31"/>
      <c r="N5" s="31"/>
    </row>
    <row r="6" spans="1:14" ht="21.75" customHeight="1">
      <c r="A6" s="671" t="s">
        <v>1713</v>
      </c>
      <c r="B6" s="683">
        <f>B5-B7</f>
        <v>2529.42</v>
      </c>
      <c r="C6" s="668">
        <f>C5-C7</f>
        <v>2175.9287781867952</v>
      </c>
      <c r="D6" s="668">
        <f>D5-D7</f>
        <v>2037.51088415298</v>
      </c>
      <c r="E6" s="668">
        <f>E5-E7</f>
        <v>2018.7193857574503</v>
      </c>
      <c r="F6" s="668">
        <f t="shared" ref="F6:I6" si="0">F5-F7</f>
        <v>1223.86258000004</v>
      </c>
      <c r="G6" s="668">
        <f t="shared" si="0"/>
        <v>574.53502293011388</v>
      </c>
      <c r="H6" s="668">
        <f t="shared" si="0"/>
        <v>541.64995148351318</v>
      </c>
      <c r="I6" s="668">
        <f t="shared" si="0"/>
        <v>449.39096623191381</v>
      </c>
      <c r="J6" s="34"/>
      <c r="K6" s="34"/>
      <c r="L6" s="31"/>
      <c r="M6" s="31"/>
      <c r="N6" s="31"/>
    </row>
    <row r="7" spans="1:14" ht="21.75" customHeight="1">
      <c r="A7" s="672" t="s">
        <v>1714</v>
      </c>
      <c r="B7" s="682">
        <v>4607.17</v>
      </c>
      <c r="C7" s="608">
        <v>4729.0712218132048</v>
      </c>
      <c r="D7" s="608">
        <v>4636.8999999999996</v>
      </c>
      <c r="E7" s="608">
        <v>4307.6697962416301</v>
      </c>
      <c r="F7" s="608">
        <v>4511.9799999999996</v>
      </c>
      <c r="G7" s="608">
        <v>4622.1477392180859</v>
      </c>
      <c r="H7" s="608">
        <v>4917.8718626250966</v>
      </c>
      <c r="I7" s="608">
        <v>5041.4790337680861</v>
      </c>
      <c r="J7" s="34">
        <v>4197.25</v>
      </c>
      <c r="K7" s="34">
        <v>4285.22</v>
      </c>
      <c r="L7" s="31"/>
      <c r="M7" s="31"/>
      <c r="N7" s="31"/>
    </row>
    <row r="8" spans="1:14" ht="21.75" customHeight="1">
      <c r="A8" s="673" t="s">
        <v>1715</v>
      </c>
      <c r="B8" s="674">
        <v>229</v>
      </c>
      <c r="C8" s="675">
        <v>223</v>
      </c>
      <c r="D8" s="675">
        <v>178.81</v>
      </c>
      <c r="E8" s="675">
        <v>92.3871538416455</v>
      </c>
      <c r="F8" s="675">
        <v>94.230287683485301</v>
      </c>
      <c r="G8" s="675">
        <v>100.32</v>
      </c>
      <c r="H8" s="675">
        <v>111.16</v>
      </c>
      <c r="I8" s="675">
        <v>108.82</v>
      </c>
      <c r="J8" s="37">
        <v>112.8</v>
      </c>
      <c r="K8" s="37">
        <v>114.59</v>
      </c>
      <c r="L8" s="31"/>
      <c r="M8" s="31"/>
      <c r="N8" s="31"/>
    </row>
    <row r="9" spans="1:14" ht="21.75" customHeight="1">
      <c r="A9" s="676" t="s">
        <v>774</v>
      </c>
      <c r="B9" s="677">
        <f>SUM(B4,B5,B8)</f>
        <v>14023.59</v>
      </c>
      <c r="C9" s="678">
        <f>SUM(C4,C5,C8)</f>
        <v>14103</v>
      </c>
      <c r="D9" s="678">
        <f t="shared" ref="D9:I9" si="1">SUM(D4,D5,D8)</f>
        <v>13904.89463230287</v>
      </c>
      <c r="E9" s="678">
        <f t="shared" si="1"/>
        <v>13128.575484551828</v>
      </c>
      <c r="F9" s="678">
        <f t="shared" si="1"/>
        <v>12497.608003123596</v>
      </c>
      <c r="G9" s="678">
        <f t="shared" si="1"/>
        <v>11627.949400048239</v>
      </c>
      <c r="H9" s="678">
        <f t="shared" si="1"/>
        <v>12178.11532723338</v>
      </c>
      <c r="I9" s="678">
        <f t="shared" si="1"/>
        <v>11696.452693550629</v>
      </c>
      <c r="J9" s="183">
        <f t="shared" ref="J9:K9" si="2">SUM(J4:J8)</f>
        <v>11240.38</v>
      </c>
      <c r="K9" s="183">
        <f t="shared" si="2"/>
        <v>10465.75</v>
      </c>
    </row>
    <row r="10" spans="1:14" ht="21.75" customHeight="1">
      <c r="A10" s="679" t="s">
        <v>775</v>
      </c>
      <c r="B10" s="680">
        <f t="shared" ref="B10:I10" si="3">B9/3.6</f>
        <v>3895.4416666666666</v>
      </c>
      <c r="C10" s="681">
        <f>C9/3.6</f>
        <v>3917.5</v>
      </c>
      <c r="D10" s="681">
        <f t="shared" si="3"/>
        <v>3862.4707311952416</v>
      </c>
      <c r="E10" s="681">
        <f t="shared" si="3"/>
        <v>3646.8265234866185</v>
      </c>
      <c r="F10" s="681">
        <f t="shared" si="3"/>
        <v>3471.5577786454432</v>
      </c>
      <c r="G10" s="681">
        <f t="shared" si="3"/>
        <v>3229.9859444578442</v>
      </c>
      <c r="H10" s="681">
        <f t="shared" si="3"/>
        <v>3382.8098131203833</v>
      </c>
      <c r="I10" s="681">
        <f t="shared" si="3"/>
        <v>3249.0146370973971</v>
      </c>
      <c r="J10" s="19"/>
      <c r="K10" s="19"/>
    </row>
    <row r="11" spans="1:14" ht="21.75" customHeight="1">
      <c r="A11" s="185" t="s">
        <v>776</v>
      </c>
      <c r="B11" s="185"/>
      <c r="C11" s="19"/>
      <c r="D11" s="19"/>
      <c r="E11" s="19"/>
      <c r="F11" s="19"/>
      <c r="G11" s="19"/>
      <c r="H11" s="19"/>
      <c r="I11" s="19"/>
    </row>
    <row r="12" spans="1:14" ht="21.75" customHeight="1">
      <c r="A12" s="51" t="s">
        <v>777</v>
      </c>
    </row>
    <row r="13" spans="1:14" ht="21.75" customHeight="1">
      <c r="A13" s="739" t="s">
        <v>778</v>
      </c>
      <c r="B13" s="739"/>
      <c r="C13" s="739"/>
      <c r="D13" s="739"/>
      <c r="E13" s="739"/>
      <c r="F13" s="739"/>
      <c r="G13" s="739"/>
      <c r="H13" s="739"/>
      <c r="I13" s="739"/>
    </row>
    <row r="14" spans="1:14" ht="21.75" customHeight="1"/>
    <row r="15" spans="1:14" ht="21.75" customHeight="1">
      <c r="A15" s="186" t="s">
        <v>779</v>
      </c>
      <c r="B15" s="182">
        <v>2023</v>
      </c>
      <c r="C15" s="182">
        <v>2022</v>
      </c>
      <c r="D15" s="182">
        <v>2021</v>
      </c>
      <c r="E15" s="182">
        <v>2020</v>
      </c>
      <c r="F15" s="182">
        <v>2019</v>
      </c>
    </row>
    <row r="16" spans="1:14" ht="21.75" customHeight="1">
      <c r="A16" s="51" t="s">
        <v>589</v>
      </c>
      <c r="B16" s="22">
        <v>106719</v>
      </c>
      <c r="C16" s="22">
        <v>96911</v>
      </c>
      <c r="D16" s="22">
        <v>78856.839999999196</v>
      </c>
      <c r="E16" s="22">
        <v>55444.521000000401</v>
      </c>
      <c r="F16" s="22">
        <v>3711.2420000000002</v>
      </c>
    </row>
    <row r="17" spans="1:14" ht="21.75" customHeight="1">
      <c r="A17" s="51" t="s">
        <v>590</v>
      </c>
      <c r="B17" s="22">
        <v>77768</v>
      </c>
      <c r="C17" s="22">
        <v>8955</v>
      </c>
      <c r="D17" s="22">
        <v>0</v>
      </c>
      <c r="E17" s="22">
        <v>0</v>
      </c>
      <c r="F17" s="22">
        <v>0</v>
      </c>
    </row>
    <row r="18" spans="1:14" ht="21.75" customHeight="1">
      <c r="A18" s="43" t="s">
        <v>645</v>
      </c>
      <c r="B18" s="108">
        <v>0</v>
      </c>
      <c r="C18" s="108">
        <v>0</v>
      </c>
      <c r="D18" s="22">
        <v>0</v>
      </c>
      <c r="E18" s="22">
        <v>0</v>
      </c>
      <c r="F18" s="22">
        <v>0</v>
      </c>
    </row>
    <row r="19" spans="1:14" ht="21.75" customHeight="1">
      <c r="A19" s="187" t="s">
        <v>640</v>
      </c>
      <c r="B19" s="26">
        <v>152486</v>
      </c>
      <c r="C19" s="161">
        <v>152692</v>
      </c>
      <c r="D19" s="161">
        <v>0</v>
      </c>
      <c r="E19" s="161">
        <v>0</v>
      </c>
      <c r="F19" s="161">
        <v>0</v>
      </c>
    </row>
    <row r="20" spans="1:14" ht="21.75" customHeight="1">
      <c r="A20" s="188" t="s">
        <v>672</v>
      </c>
      <c r="B20" s="189">
        <f>SUM(B16:B19)</f>
        <v>336973</v>
      </c>
      <c r="C20" s="190">
        <f>SUM(C16:C19)</f>
        <v>258558</v>
      </c>
      <c r="D20" s="190">
        <v>78856.839999999793</v>
      </c>
      <c r="E20" s="190">
        <v>55444.521000000401</v>
      </c>
      <c r="F20" s="190">
        <v>3711.2420000000002</v>
      </c>
    </row>
    <row r="21" spans="1:14" ht="21.75" customHeight="1">
      <c r="A21" s="211"/>
      <c r="B21" s="212"/>
      <c r="C21" s="212"/>
      <c r="D21" s="212"/>
      <c r="E21" s="213"/>
      <c r="F21" s="213"/>
    </row>
    <row r="22" spans="1:14" ht="21.75" customHeight="1">
      <c r="A22" s="186" t="s">
        <v>780</v>
      </c>
      <c r="B22" s="182">
        <v>2023</v>
      </c>
      <c r="C22" s="182">
        <v>2022</v>
      </c>
      <c r="D22" s="182">
        <v>2021</v>
      </c>
      <c r="E22" s="182">
        <v>2020</v>
      </c>
      <c r="F22" s="182">
        <v>2019</v>
      </c>
    </row>
    <row r="23" spans="1:14" ht="21.75" customHeight="1">
      <c r="A23" s="43" t="s">
        <v>589</v>
      </c>
      <c r="B23" s="22">
        <v>715064</v>
      </c>
      <c r="C23" s="22">
        <v>688126.1</v>
      </c>
      <c r="D23" s="22">
        <v>676258.86099999095</v>
      </c>
      <c r="E23" s="22">
        <v>675134.23860629299</v>
      </c>
      <c r="F23" s="22">
        <v>529537.97895257699</v>
      </c>
    </row>
    <row r="24" spans="1:14" ht="21.75" customHeight="1">
      <c r="A24" s="43" t="s">
        <v>590</v>
      </c>
      <c r="B24" s="22">
        <v>432575</v>
      </c>
      <c r="C24" s="22">
        <v>476982.05800000502</v>
      </c>
      <c r="D24" s="22">
        <v>465141.9</v>
      </c>
      <c r="E24" s="22">
        <v>399300.14600000001</v>
      </c>
      <c r="F24" s="22">
        <v>436440.94</v>
      </c>
    </row>
    <row r="25" spans="1:14" ht="21.75" customHeight="1">
      <c r="A25" s="43" t="s">
        <v>645</v>
      </c>
      <c r="B25" s="20">
        <v>471684</v>
      </c>
      <c r="C25" s="22">
        <v>492105.31</v>
      </c>
      <c r="D25" s="22">
        <v>473724.92900000099</v>
      </c>
      <c r="E25" s="22">
        <v>477706.77736940898</v>
      </c>
      <c r="F25" s="22">
        <v>462998.47556764499</v>
      </c>
    </row>
    <row r="26" spans="1:14" ht="21.75" customHeight="1">
      <c r="A26" s="191" t="s">
        <v>640</v>
      </c>
      <c r="B26" s="26">
        <v>0</v>
      </c>
      <c r="C26" s="161">
        <v>0</v>
      </c>
      <c r="D26" s="161">
        <v>151999.15</v>
      </c>
      <c r="E26" s="161">
        <v>146897.57</v>
      </c>
      <c r="F26" s="161">
        <v>148235.24</v>
      </c>
    </row>
    <row r="27" spans="1:14" ht="21.75" customHeight="1">
      <c r="A27" s="192" t="s">
        <v>672</v>
      </c>
      <c r="B27" s="189">
        <f>SUM(B23:B26)</f>
        <v>1619323</v>
      </c>
      <c r="C27" s="190">
        <f>SUM(C23:C26)</f>
        <v>1657213.468000005</v>
      </c>
      <c r="D27" s="190">
        <v>1767124.8400000201</v>
      </c>
      <c r="E27" s="190">
        <f>SUM(E23:E25)</f>
        <v>1552141.1619757018</v>
      </c>
      <c r="F27" s="190">
        <f>SUM(F23:F25)</f>
        <v>1428977.394520222</v>
      </c>
    </row>
    <row r="28" spans="1:14" ht="21.75" customHeight="1">
      <c r="A28" s="743" t="s">
        <v>781</v>
      </c>
      <c r="B28" s="743"/>
      <c r="C28" s="743"/>
      <c r="D28" s="743"/>
      <c r="E28" s="213"/>
      <c r="F28" s="213"/>
    </row>
    <row r="29" spans="1:14" ht="21.75" customHeight="1">
      <c r="A29" s="31"/>
      <c r="B29" s="31"/>
      <c r="C29" s="31"/>
      <c r="D29" s="214"/>
      <c r="E29" s="23"/>
      <c r="F29" s="23"/>
      <c r="G29" s="43"/>
      <c r="H29" s="43"/>
      <c r="I29" s="43"/>
      <c r="J29" s="43"/>
      <c r="K29" s="43"/>
      <c r="L29" s="43"/>
      <c r="M29" s="43"/>
      <c r="N29" s="43"/>
    </row>
    <row r="30" spans="1:14" ht="21.75" customHeight="1">
      <c r="A30" s="32" t="s">
        <v>782</v>
      </c>
      <c r="B30" s="182">
        <v>2023</v>
      </c>
      <c r="C30" s="182">
        <v>2022</v>
      </c>
      <c r="D30" s="33">
        <v>2021</v>
      </c>
      <c r="E30" s="33">
        <v>2020</v>
      </c>
      <c r="F30" s="33">
        <v>2019</v>
      </c>
    </row>
    <row r="31" spans="1:14" ht="21.75" customHeight="1">
      <c r="A31" s="51" t="s">
        <v>589</v>
      </c>
      <c r="B31" s="20">
        <v>756347</v>
      </c>
      <c r="C31" s="109">
        <v>715951.71194323106</v>
      </c>
      <c r="D31" s="109">
        <v>691400</v>
      </c>
      <c r="E31" s="34">
        <v>575773.35954168101</v>
      </c>
      <c r="F31" s="34">
        <v>552308.42876369902</v>
      </c>
      <c r="H31" s="43"/>
      <c r="I31" s="43"/>
      <c r="J31" s="43"/>
      <c r="K31" s="43"/>
      <c r="L31" s="43"/>
      <c r="M31" s="43"/>
      <c r="N31" s="43"/>
    </row>
    <row r="32" spans="1:14" ht="21.75" customHeight="1">
      <c r="A32" s="21" t="s">
        <v>590</v>
      </c>
      <c r="B32" s="20">
        <v>34867</v>
      </c>
      <c r="C32" s="109">
        <v>36216.778026377397</v>
      </c>
      <c r="D32" s="109">
        <v>30520.875433851801</v>
      </c>
      <c r="E32" s="34">
        <v>22532.8363892257</v>
      </c>
      <c r="F32" s="34">
        <v>21239.6043512414</v>
      </c>
      <c r="H32" s="43"/>
      <c r="I32" s="43"/>
      <c r="J32" s="43"/>
      <c r="K32" s="43"/>
      <c r="L32" s="43"/>
      <c r="M32" s="43"/>
      <c r="N32" s="43"/>
    </row>
    <row r="33" spans="1:14" ht="21.75" customHeight="1">
      <c r="A33" s="21" t="s">
        <v>645</v>
      </c>
      <c r="B33" s="20">
        <v>954546</v>
      </c>
      <c r="C33" s="109">
        <v>1042613.28706377</v>
      </c>
      <c r="D33" s="109">
        <v>1106146.9819716299</v>
      </c>
      <c r="E33" s="34">
        <v>1157978.57591668</v>
      </c>
      <c r="F33" s="34">
        <v>1145807.7271740001</v>
      </c>
      <c r="H33" s="43"/>
      <c r="I33" s="43"/>
      <c r="J33" s="43"/>
      <c r="K33" s="43"/>
      <c r="L33" s="43"/>
      <c r="M33" s="43"/>
      <c r="N33" s="43"/>
    </row>
    <row r="34" spans="1:14" ht="21.75" customHeight="1">
      <c r="A34" s="21" t="s">
        <v>640</v>
      </c>
      <c r="B34" s="20">
        <v>182573</v>
      </c>
      <c r="C34" s="109">
        <v>204793.17045713999</v>
      </c>
      <c r="D34" s="109">
        <v>188449.847934486</v>
      </c>
      <c r="E34" s="34">
        <v>136087.67327551899</v>
      </c>
      <c r="F34" s="34">
        <v>171305.76</v>
      </c>
      <c r="H34" s="43"/>
      <c r="I34" s="43"/>
      <c r="J34" s="43"/>
      <c r="K34" s="43"/>
      <c r="L34" s="43"/>
      <c r="M34" s="43"/>
      <c r="N34" s="43"/>
    </row>
    <row r="35" spans="1:14" ht="21.75" customHeight="1">
      <c r="A35" s="73" t="s">
        <v>672</v>
      </c>
      <c r="B35" s="140">
        <f>SUM(B31:B34)</f>
        <v>1928333</v>
      </c>
      <c r="C35" s="75">
        <f>SUM(C31:C34)</f>
        <v>1999574.9474905184</v>
      </c>
      <c r="D35" s="193">
        <f>SUM(D31:D34)</f>
        <v>2016517.7053399677</v>
      </c>
      <c r="E35" s="193">
        <f>SUM(E31:E34)</f>
        <v>1892372.4451231055</v>
      </c>
      <c r="F35" s="193">
        <f>SUM(F31:F34)</f>
        <v>1890661.5202889405</v>
      </c>
      <c r="H35" s="43"/>
      <c r="I35" s="43"/>
      <c r="J35" s="43"/>
      <c r="K35" s="43"/>
      <c r="L35" s="43"/>
      <c r="M35" s="43"/>
      <c r="N35" s="43"/>
    </row>
    <row r="36" spans="1:14" ht="21.75" customHeight="1">
      <c r="A36" s="743" t="s">
        <v>783</v>
      </c>
      <c r="B36" s="743"/>
      <c r="C36" s="743"/>
      <c r="D36" s="743"/>
      <c r="E36" s="215"/>
      <c r="F36" s="215"/>
      <c r="H36" s="43"/>
      <c r="I36" s="43"/>
      <c r="J36" s="43"/>
      <c r="K36" s="43"/>
      <c r="L36" s="43"/>
      <c r="M36" s="43"/>
      <c r="N36" s="43"/>
    </row>
    <row r="37" spans="1:14" ht="17.5" customHeight="1">
      <c r="A37" s="51" t="s">
        <v>784</v>
      </c>
      <c r="D37" s="216"/>
      <c r="E37" s="217"/>
      <c r="F37" s="217"/>
    </row>
    <row r="38" spans="1:14" ht="13.25" customHeight="1">
      <c r="A38" s="106"/>
      <c r="B38" s="106"/>
      <c r="C38" s="106"/>
    </row>
    <row r="39" spans="1:14" ht="21.75" customHeight="1">
      <c r="A39" s="32" t="s">
        <v>785</v>
      </c>
      <c r="B39" s="182">
        <v>2023</v>
      </c>
      <c r="C39" s="182">
        <v>2022</v>
      </c>
      <c r="D39" s="33">
        <v>2021</v>
      </c>
      <c r="E39" s="33">
        <v>2020</v>
      </c>
      <c r="F39" s="33">
        <v>2019</v>
      </c>
    </row>
    <row r="40" spans="1:14" ht="21.75" customHeight="1">
      <c r="A40" s="21" t="s">
        <v>589</v>
      </c>
      <c r="B40" s="20">
        <f t="shared" ref="B40:F44" si="4">SUM(B23,B31)</f>
        <v>1471411</v>
      </c>
      <c r="C40" s="109">
        <f t="shared" si="4"/>
        <v>1404077.8119432312</v>
      </c>
      <c r="D40" s="109">
        <f t="shared" si="4"/>
        <v>1367658.860999991</v>
      </c>
      <c r="E40" s="34">
        <f t="shared" si="4"/>
        <v>1250907.5981479739</v>
      </c>
      <c r="F40" s="34">
        <f t="shared" si="4"/>
        <v>1081846.4077162761</v>
      </c>
    </row>
    <row r="41" spans="1:14" ht="21.75" customHeight="1">
      <c r="A41" s="21" t="s">
        <v>590</v>
      </c>
      <c r="B41" s="20">
        <f t="shared" si="4"/>
        <v>467442</v>
      </c>
      <c r="C41" s="109">
        <f t="shared" si="4"/>
        <v>513198.8360263824</v>
      </c>
      <c r="D41" s="109">
        <f t="shared" si="4"/>
        <v>495662.77543385181</v>
      </c>
      <c r="E41" s="34">
        <f t="shared" si="4"/>
        <v>421832.98238922568</v>
      </c>
      <c r="F41" s="34">
        <f t="shared" si="4"/>
        <v>457680.54435124138</v>
      </c>
    </row>
    <row r="42" spans="1:14" ht="21.75" customHeight="1">
      <c r="A42" s="21" t="s">
        <v>645</v>
      </c>
      <c r="B42" s="20">
        <f t="shared" si="4"/>
        <v>1426230</v>
      </c>
      <c r="C42" s="109">
        <f t="shared" si="4"/>
        <v>1534718.5970637701</v>
      </c>
      <c r="D42" s="109">
        <f t="shared" si="4"/>
        <v>1579871.9109716308</v>
      </c>
      <c r="E42" s="34">
        <f t="shared" si="4"/>
        <v>1635685.3532860889</v>
      </c>
      <c r="F42" s="34">
        <f t="shared" si="4"/>
        <v>1608806.202741645</v>
      </c>
    </row>
    <row r="43" spans="1:14" ht="21.75" customHeight="1">
      <c r="A43" s="21" t="s">
        <v>640</v>
      </c>
      <c r="B43" s="20">
        <f t="shared" si="4"/>
        <v>182573</v>
      </c>
      <c r="C43" s="109">
        <f t="shared" si="4"/>
        <v>204793.17045713999</v>
      </c>
      <c r="D43" s="109">
        <f t="shared" si="4"/>
        <v>340448.99793448602</v>
      </c>
      <c r="E43" s="34">
        <f t="shared" si="4"/>
        <v>282985.24327551899</v>
      </c>
      <c r="F43" s="34">
        <f t="shared" si="4"/>
        <v>319541</v>
      </c>
    </row>
    <row r="44" spans="1:14" ht="21.75" customHeight="1">
      <c r="A44" s="73" t="s">
        <v>672</v>
      </c>
      <c r="B44" s="140">
        <f t="shared" si="4"/>
        <v>3547656</v>
      </c>
      <c r="C44" s="193">
        <f t="shared" si="4"/>
        <v>3656788.4154905234</v>
      </c>
      <c r="D44" s="193">
        <f t="shared" si="4"/>
        <v>3783642.5453399876</v>
      </c>
      <c r="E44" s="193">
        <f t="shared" si="4"/>
        <v>3444513.6070988076</v>
      </c>
      <c r="F44" s="193">
        <f t="shared" si="4"/>
        <v>3319638.9148091627</v>
      </c>
      <c r="H44" s="218"/>
      <c r="I44" s="43"/>
      <c r="J44" s="43"/>
      <c r="K44" s="43"/>
      <c r="L44" s="43"/>
      <c r="M44" s="43"/>
    </row>
    <row r="45" spans="1:14" ht="21.75" customHeight="1">
      <c r="A45" s="743" t="s">
        <v>786</v>
      </c>
      <c r="B45" s="743"/>
      <c r="C45" s="743"/>
      <c r="D45" s="743"/>
      <c r="E45" s="78"/>
      <c r="F45" s="78"/>
    </row>
    <row r="46" spans="1:14" ht="21.75" customHeight="1">
      <c r="A46" s="51" t="s">
        <v>787</v>
      </c>
    </row>
    <row r="47" spans="1:14" ht="21.75" customHeight="1">
      <c r="A47" s="740" t="s">
        <v>788</v>
      </c>
      <c r="B47" s="685"/>
      <c r="C47" s="685"/>
      <c r="D47" s="685"/>
      <c r="E47" s="685"/>
      <c r="F47" s="685"/>
      <c r="G47" s="685"/>
      <c r="H47" s="685"/>
      <c r="I47" s="685"/>
    </row>
    <row r="48" spans="1:14" ht="21.75" customHeight="1">
      <c r="A48" s="740" t="s">
        <v>789</v>
      </c>
      <c r="B48" s="685"/>
      <c r="C48" s="685"/>
      <c r="D48" s="685"/>
      <c r="E48" s="685"/>
      <c r="F48" s="685"/>
      <c r="G48" s="685"/>
      <c r="H48" s="685"/>
      <c r="I48" s="685"/>
    </row>
    <row r="49" spans="1:11" ht="21.75" customHeight="1">
      <c r="A49" s="740" t="s">
        <v>790</v>
      </c>
      <c r="B49" s="685"/>
      <c r="C49" s="685"/>
      <c r="D49" s="685"/>
    </row>
    <row r="50" spans="1:11" ht="21.75" customHeight="1">
      <c r="A50" s="740" t="s">
        <v>791</v>
      </c>
      <c r="B50" s="685"/>
      <c r="C50" s="685"/>
      <c r="D50" s="685"/>
      <c r="E50" s="685"/>
    </row>
    <row r="51" spans="1:11" ht="22.5" customHeight="1">
      <c r="A51" s="740" t="s">
        <v>792</v>
      </c>
      <c r="B51" s="685"/>
      <c r="C51" s="685"/>
      <c r="D51" s="685"/>
      <c r="E51" s="685"/>
      <c r="F51" s="685"/>
      <c r="G51" s="685"/>
      <c r="H51" s="685"/>
      <c r="I51" s="685"/>
    </row>
    <row r="52" spans="1:11" ht="29.25" customHeight="1">
      <c r="A52" s="740" t="s">
        <v>793</v>
      </c>
      <c r="B52" s="685"/>
      <c r="C52" s="685"/>
      <c r="D52" s="685"/>
      <c r="E52" s="685"/>
      <c r="F52" s="685"/>
      <c r="G52" s="685"/>
      <c r="H52" s="685"/>
      <c r="I52" s="685"/>
    </row>
    <row r="53" spans="1:11" ht="21.75" customHeight="1"/>
    <row r="54" spans="1:11" ht="21.75" customHeight="1">
      <c r="A54" s="32" t="s">
        <v>794</v>
      </c>
      <c r="B54" s="182">
        <v>2023</v>
      </c>
      <c r="C54" s="182">
        <v>2022</v>
      </c>
      <c r="D54" s="17" t="s">
        <v>795</v>
      </c>
      <c r="E54" s="33">
        <v>2020</v>
      </c>
      <c r="F54" s="33">
        <v>2019</v>
      </c>
      <c r="G54" s="33">
        <v>2018</v>
      </c>
      <c r="H54" s="33">
        <v>2017</v>
      </c>
      <c r="I54" s="33">
        <v>2016</v>
      </c>
    </row>
    <row r="55" spans="1:11" ht="21.75" customHeight="1">
      <c r="A55" s="21" t="s">
        <v>796</v>
      </c>
      <c r="B55" s="35">
        <v>153</v>
      </c>
      <c r="C55" s="35">
        <v>146</v>
      </c>
      <c r="D55" s="34">
        <v>124.2</v>
      </c>
      <c r="E55" s="34">
        <v>83.8</v>
      </c>
      <c r="F55" s="34">
        <v>81.010000000000005</v>
      </c>
      <c r="G55" s="35">
        <v>78.180000000000007</v>
      </c>
      <c r="H55" s="35">
        <v>80.78</v>
      </c>
      <c r="I55" s="35">
        <v>83.9</v>
      </c>
    </row>
    <row r="56" spans="1:11" ht="21.75" customHeight="1">
      <c r="A56" s="21" t="s">
        <v>590</v>
      </c>
      <c r="B56" s="35">
        <v>42</v>
      </c>
      <c r="C56" s="35">
        <v>45</v>
      </c>
      <c r="D56" s="34">
        <v>42.74</v>
      </c>
      <c r="E56" s="34">
        <v>28.6</v>
      </c>
      <c r="F56" s="34">
        <v>32.450000000000003</v>
      </c>
      <c r="G56" s="35">
        <v>33.15</v>
      </c>
      <c r="H56" s="35">
        <v>34.4</v>
      </c>
      <c r="I56" s="35">
        <v>31.55</v>
      </c>
    </row>
    <row r="57" spans="1:11" ht="21.75" customHeight="1">
      <c r="A57" s="51" t="s">
        <v>645</v>
      </c>
      <c r="B57" s="35">
        <v>169</v>
      </c>
      <c r="C57" s="35">
        <v>188</v>
      </c>
      <c r="D57" s="34">
        <v>143.69999999999999</v>
      </c>
      <c r="E57" s="34">
        <v>121.3</v>
      </c>
      <c r="F57" s="34">
        <v>157.83000000000001</v>
      </c>
      <c r="G57" s="35">
        <v>164.43</v>
      </c>
      <c r="H57" s="35">
        <v>120.29</v>
      </c>
      <c r="I57" s="35">
        <v>153.19</v>
      </c>
    </row>
    <row r="58" spans="1:11" ht="21.75" customHeight="1">
      <c r="A58" s="21" t="s">
        <v>640</v>
      </c>
      <c r="B58" s="35">
        <v>42</v>
      </c>
      <c r="C58" s="35">
        <v>44</v>
      </c>
      <c r="D58" s="34">
        <v>30.161000000000001</v>
      </c>
      <c r="E58" s="34">
        <v>23.3</v>
      </c>
      <c r="F58" s="34">
        <v>28.5</v>
      </c>
      <c r="G58" s="35">
        <v>25.79</v>
      </c>
      <c r="H58" s="35">
        <v>22.07</v>
      </c>
      <c r="I58" s="35">
        <v>20.68</v>
      </c>
    </row>
    <row r="59" spans="1:11" ht="21.75" customHeight="1">
      <c r="A59" s="155" t="s">
        <v>672</v>
      </c>
      <c r="B59" s="194">
        <v>405</v>
      </c>
      <c r="C59" s="195">
        <v>424</v>
      </c>
      <c r="D59" s="113">
        <v>341</v>
      </c>
      <c r="E59" s="113">
        <v>257</v>
      </c>
      <c r="F59" s="113">
        <v>300</v>
      </c>
      <c r="G59" s="195">
        <v>301</v>
      </c>
      <c r="H59" s="195">
        <v>258</v>
      </c>
      <c r="I59" s="195">
        <v>289.32</v>
      </c>
    </row>
    <row r="60" spans="1:11" ht="21.75" customHeight="1">
      <c r="A60" s="30" t="s">
        <v>797</v>
      </c>
      <c r="B60" s="30"/>
      <c r="C60" s="30"/>
      <c r="D60" s="30"/>
      <c r="E60" s="30"/>
      <c r="F60" s="30"/>
      <c r="G60" s="30"/>
      <c r="H60" s="30"/>
      <c r="I60" s="30"/>
    </row>
    <row r="61" spans="1:11" ht="21.75" customHeight="1"/>
    <row r="62" spans="1:11" ht="16.75" customHeight="1">
      <c r="A62" s="32" t="s">
        <v>798</v>
      </c>
      <c r="B62" s="182">
        <v>2023</v>
      </c>
      <c r="C62" s="182">
        <v>2022</v>
      </c>
      <c r="D62" s="17" t="s">
        <v>795</v>
      </c>
      <c r="E62" s="17" t="s">
        <v>799</v>
      </c>
      <c r="F62" s="33">
        <v>2019</v>
      </c>
      <c r="G62" s="33">
        <v>2018</v>
      </c>
      <c r="H62" s="33">
        <v>2017</v>
      </c>
      <c r="I62" s="33">
        <v>2016</v>
      </c>
      <c r="J62" s="33">
        <v>2015</v>
      </c>
      <c r="K62" s="33">
        <v>2014</v>
      </c>
    </row>
    <row r="63" spans="1:11" ht="21.75" customHeight="1">
      <c r="A63" s="21" t="s">
        <v>672</v>
      </c>
      <c r="B63" s="196" t="s">
        <v>625</v>
      </c>
      <c r="C63" s="20">
        <v>14210</v>
      </c>
      <c r="D63" s="20">
        <v>13206</v>
      </c>
      <c r="E63" s="20">
        <v>12442</v>
      </c>
      <c r="F63" s="34">
        <v>9657</v>
      </c>
      <c r="G63" s="34">
        <v>8161</v>
      </c>
      <c r="H63" s="34">
        <v>7998</v>
      </c>
      <c r="I63" s="34">
        <v>5943</v>
      </c>
      <c r="J63" s="34">
        <v>5660</v>
      </c>
      <c r="K63" s="34">
        <v>5825</v>
      </c>
    </row>
    <row r="64" spans="1:11" ht="15.75" customHeight="1">
      <c r="A64" s="740" t="s">
        <v>800</v>
      </c>
      <c r="B64" s="685"/>
      <c r="C64" s="685"/>
      <c r="D64" s="685"/>
      <c r="E64" s="685"/>
    </row>
    <row r="65" spans="1:11" ht="30.75" customHeight="1">
      <c r="J65" s="17"/>
      <c r="K65" s="17"/>
    </row>
    <row r="66" spans="1:11" ht="30.75" customHeight="1">
      <c r="A66" s="32" t="s">
        <v>801</v>
      </c>
      <c r="B66" s="32"/>
      <c r="C66" s="32"/>
      <c r="D66" s="17"/>
      <c r="E66" s="17"/>
      <c r="F66" s="17"/>
      <c r="G66" s="17"/>
      <c r="H66" s="17"/>
      <c r="I66" s="17"/>
      <c r="J66" s="17"/>
      <c r="K66" s="17"/>
    </row>
    <row r="67" spans="1:11" ht="30.75" customHeight="1"/>
    <row r="68" spans="1:11" ht="30.75" customHeight="1">
      <c r="A68" s="32" t="s">
        <v>802</v>
      </c>
      <c r="B68" s="182">
        <v>2023</v>
      </c>
      <c r="C68" s="182">
        <v>2022</v>
      </c>
      <c r="D68" s="33">
        <v>2021</v>
      </c>
      <c r="E68" s="33">
        <v>2020</v>
      </c>
      <c r="F68" s="33">
        <v>2019</v>
      </c>
      <c r="G68" s="33">
        <v>2018</v>
      </c>
      <c r="H68" s="33">
        <v>2017</v>
      </c>
      <c r="I68" s="33">
        <v>2016</v>
      </c>
      <c r="J68" s="33">
        <v>2015</v>
      </c>
      <c r="K68" s="33">
        <v>2014</v>
      </c>
    </row>
    <row r="69" spans="1:11" ht="30.75" customHeight="1">
      <c r="A69" s="51" t="s">
        <v>589</v>
      </c>
      <c r="B69" s="116">
        <v>4.6500000000000004</v>
      </c>
      <c r="C69" s="116">
        <v>4.43</v>
      </c>
      <c r="D69" s="197">
        <v>4.5599999999999996</v>
      </c>
      <c r="E69" s="197">
        <v>4.0999999999999996</v>
      </c>
      <c r="F69" s="197">
        <v>4.05</v>
      </c>
      <c r="G69" s="197">
        <v>3.56</v>
      </c>
      <c r="H69" s="197">
        <v>3.8859204710238902</v>
      </c>
      <c r="I69" s="197">
        <v>3.82</v>
      </c>
      <c r="J69" s="197">
        <v>3.28</v>
      </c>
      <c r="K69" s="197">
        <v>3.18</v>
      </c>
    </row>
    <row r="70" spans="1:11" ht="30.75" customHeight="1">
      <c r="A70" s="21" t="s">
        <v>590</v>
      </c>
      <c r="B70" s="116">
        <v>6.09</v>
      </c>
      <c r="C70" s="116">
        <v>5.73</v>
      </c>
      <c r="D70" s="197">
        <v>6.09</v>
      </c>
      <c r="E70" s="197">
        <v>6.69</v>
      </c>
      <c r="F70" s="197">
        <v>7.42</v>
      </c>
      <c r="G70" s="197">
        <v>10.76</v>
      </c>
      <c r="H70" s="197">
        <v>6.7651738448286496</v>
      </c>
      <c r="I70" s="197">
        <v>6.91</v>
      </c>
      <c r="J70" s="197">
        <v>9.27</v>
      </c>
      <c r="K70" s="197">
        <v>9.01</v>
      </c>
    </row>
    <row r="71" spans="1:11" ht="30.75" customHeight="1">
      <c r="A71" s="21" t="s">
        <v>645</v>
      </c>
      <c r="B71" s="116">
        <v>7.43</v>
      </c>
      <c r="C71" s="116">
        <v>7.27</v>
      </c>
      <c r="D71" s="197">
        <v>7.32</v>
      </c>
      <c r="E71" s="197">
        <v>7.86</v>
      </c>
      <c r="F71" s="197">
        <v>7.96</v>
      </c>
      <c r="G71" s="197">
        <v>8.1</v>
      </c>
      <c r="H71" s="197">
        <v>7.95380413755802</v>
      </c>
      <c r="I71" s="197">
        <v>7.09</v>
      </c>
      <c r="J71" s="197">
        <v>6.82</v>
      </c>
      <c r="K71" s="197">
        <v>6.11</v>
      </c>
    </row>
    <row r="72" spans="1:11" ht="30.75" customHeight="1">
      <c r="A72" s="21" t="s">
        <v>640</v>
      </c>
      <c r="B72" s="116">
        <v>5.04</v>
      </c>
      <c r="C72" s="116">
        <v>4.9400000000000004</v>
      </c>
      <c r="D72" s="197">
        <v>4.9400000000000004</v>
      </c>
      <c r="E72" s="197">
        <v>4.92</v>
      </c>
      <c r="F72" s="197">
        <v>3.93</v>
      </c>
      <c r="G72" s="197">
        <v>3.45</v>
      </c>
      <c r="H72" s="197">
        <v>3.2508180699325702</v>
      </c>
      <c r="I72" s="197">
        <v>3.75</v>
      </c>
    </row>
    <row r="73" spans="1:11" ht="21.75" customHeight="1">
      <c r="A73" s="152" t="s">
        <v>672</v>
      </c>
      <c r="B73" s="198">
        <v>5.66</v>
      </c>
      <c r="C73" s="199">
        <v>5.49</v>
      </c>
      <c r="D73" s="200">
        <v>5.66</v>
      </c>
      <c r="E73" s="200">
        <v>5.64</v>
      </c>
      <c r="F73" s="200">
        <v>5.67</v>
      </c>
      <c r="G73" s="200">
        <v>5.64</v>
      </c>
      <c r="H73" s="200">
        <v>5.45506400278681</v>
      </c>
      <c r="I73" s="200">
        <v>5.27</v>
      </c>
      <c r="J73" s="201">
        <v>5.0199999999999996</v>
      </c>
      <c r="K73" s="201">
        <v>4.5599999999999996</v>
      </c>
    </row>
    <row r="74" spans="1:11" ht="21.75" customHeight="1">
      <c r="A74" s="103"/>
      <c r="B74" s="103"/>
      <c r="C74" s="103"/>
      <c r="D74" s="103"/>
      <c r="E74" s="103"/>
      <c r="F74" s="219"/>
      <c r="G74" s="219"/>
      <c r="H74" s="211"/>
      <c r="I74" s="219"/>
      <c r="J74" s="115"/>
      <c r="K74" s="115"/>
    </row>
    <row r="75" spans="1:11" ht="21.75" customHeight="1">
      <c r="A75" s="32" t="s">
        <v>803</v>
      </c>
      <c r="B75" s="182">
        <v>2023</v>
      </c>
      <c r="C75" s="182">
        <v>2022</v>
      </c>
      <c r="D75" s="33">
        <v>2021</v>
      </c>
      <c r="E75" s="33">
        <v>2020</v>
      </c>
      <c r="F75" s="33">
        <v>2019</v>
      </c>
      <c r="G75" s="33">
        <v>2018</v>
      </c>
      <c r="H75" s="33">
        <v>2017</v>
      </c>
      <c r="I75" s="33">
        <v>2016</v>
      </c>
      <c r="J75" s="33">
        <v>2015</v>
      </c>
      <c r="K75" s="33">
        <v>2014</v>
      </c>
    </row>
    <row r="76" spans="1:11" ht="21.75" customHeight="1">
      <c r="A76" s="21" t="s">
        <v>589</v>
      </c>
      <c r="B76" s="116">
        <v>110.14</v>
      </c>
      <c r="C76" s="116">
        <v>94.01</v>
      </c>
      <c r="D76" s="197">
        <v>95.12</v>
      </c>
      <c r="E76" s="197">
        <v>106.28</v>
      </c>
      <c r="F76" s="197">
        <v>99.39</v>
      </c>
      <c r="G76" s="197">
        <v>117.32</v>
      </c>
      <c r="H76" s="197">
        <v>76.97</v>
      </c>
      <c r="I76" s="197">
        <v>74.400000000000006</v>
      </c>
      <c r="J76" s="197">
        <v>114</v>
      </c>
      <c r="K76" s="197">
        <v>114</v>
      </c>
    </row>
    <row r="77" spans="1:11" ht="21.75" customHeight="1">
      <c r="A77" s="21" t="s">
        <v>590</v>
      </c>
      <c r="B77" s="116">
        <v>986.88</v>
      </c>
      <c r="C77" s="202">
        <v>1029</v>
      </c>
      <c r="D77" s="202">
        <v>1025</v>
      </c>
      <c r="E77" s="197">
        <v>1255</v>
      </c>
      <c r="F77" s="197">
        <v>1431</v>
      </c>
      <c r="G77" s="197">
        <v>1627.5</v>
      </c>
      <c r="H77" s="197">
        <v>1154.8</v>
      </c>
      <c r="I77" s="197">
        <v>1151.67</v>
      </c>
      <c r="J77" s="49" t="s">
        <v>804</v>
      </c>
      <c r="K77" s="49" t="s">
        <v>805</v>
      </c>
    </row>
    <row r="78" spans="1:11" ht="21.75" customHeight="1">
      <c r="A78" s="21" t="s">
        <v>645</v>
      </c>
      <c r="B78" s="116">
        <v>52.13</v>
      </c>
      <c r="C78" s="116">
        <v>50.79</v>
      </c>
      <c r="D78" s="197">
        <v>49.15</v>
      </c>
      <c r="E78" s="197">
        <v>49.85</v>
      </c>
      <c r="F78" s="197">
        <v>45.74</v>
      </c>
      <c r="G78" s="197">
        <v>42.14</v>
      </c>
      <c r="H78" s="197">
        <v>39.35</v>
      </c>
      <c r="I78" s="197">
        <v>42.27</v>
      </c>
      <c r="J78" s="197">
        <v>42</v>
      </c>
      <c r="K78" s="197">
        <v>42</v>
      </c>
    </row>
    <row r="79" spans="1:11" ht="21.75" customHeight="1">
      <c r="A79" s="21" t="s">
        <v>640</v>
      </c>
      <c r="B79" s="116">
        <v>48.43</v>
      </c>
      <c r="C79" s="116">
        <v>43.83</v>
      </c>
      <c r="D79" s="197">
        <v>43.31</v>
      </c>
      <c r="E79" s="197">
        <v>55.9</v>
      </c>
      <c r="F79" s="197">
        <v>51.49</v>
      </c>
      <c r="G79" s="197">
        <v>49.71</v>
      </c>
      <c r="H79" s="197">
        <v>63.33</v>
      </c>
      <c r="I79" s="197">
        <v>70.19</v>
      </c>
    </row>
    <row r="80" spans="1:11" ht="21.75" customHeight="1">
      <c r="A80" s="73" t="s">
        <v>672</v>
      </c>
      <c r="B80" s="198">
        <v>78.75</v>
      </c>
      <c r="C80" s="199">
        <v>71.37</v>
      </c>
      <c r="D80" s="200">
        <v>69.349999999999994</v>
      </c>
      <c r="E80" s="200">
        <v>72.209999999999994</v>
      </c>
      <c r="F80" s="200">
        <v>65.97</v>
      </c>
      <c r="G80" s="200">
        <v>62.79</v>
      </c>
      <c r="H80" s="200">
        <v>58.52</v>
      </c>
      <c r="I80" s="200">
        <v>63.36</v>
      </c>
      <c r="J80" s="197">
        <v>68</v>
      </c>
      <c r="K80" s="197">
        <v>68</v>
      </c>
    </row>
    <row r="81" spans="1:9" ht="21.75" customHeight="1">
      <c r="A81" s="743" t="s">
        <v>806</v>
      </c>
      <c r="B81" s="743"/>
      <c r="C81" s="743"/>
      <c r="D81" s="743"/>
      <c r="E81" s="78"/>
      <c r="F81" s="78"/>
      <c r="G81" s="78"/>
      <c r="H81" s="78"/>
      <c r="I81" s="78"/>
    </row>
    <row r="82" spans="1:9" ht="21.75" customHeight="1">
      <c r="A82" s="51" t="s">
        <v>807</v>
      </c>
    </row>
    <row r="83" spans="1:9" ht="21.75" customHeight="1">
      <c r="A83" s="51" t="s">
        <v>808</v>
      </c>
    </row>
    <row r="84" spans="1:9" ht="22.5" customHeight="1">
      <c r="A84" s="740" t="s">
        <v>792</v>
      </c>
      <c r="B84" s="685"/>
      <c r="C84" s="685"/>
      <c r="D84" s="685"/>
      <c r="E84" s="685"/>
      <c r="F84" s="685"/>
      <c r="G84" s="685"/>
      <c r="H84" s="685"/>
      <c r="I84" s="685"/>
    </row>
    <row r="85" spans="1:9" ht="35" customHeight="1">
      <c r="A85" s="740" t="s">
        <v>793</v>
      </c>
      <c r="B85" s="685"/>
      <c r="C85" s="685"/>
      <c r="D85" s="685"/>
      <c r="E85" s="685"/>
      <c r="F85" s="685"/>
      <c r="G85" s="685"/>
      <c r="H85" s="685"/>
      <c r="I85" s="685"/>
    </row>
    <row r="86" spans="1:9" ht="21.75" customHeight="1">
      <c r="A86" s="740" t="s">
        <v>809</v>
      </c>
      <c r="B86" s="685"/>
      <c r="C86" s="685"/>
      <c r="D86" s="685"/>
    </row>
    <row r="87" spans="1:9" ht="21.75" customHeight="1"/>
    <row r="88" spans="1:9" ht="21.75" customHeight="1">
      <c r="A88" s="203" t="s">
        <v>810</v>
      </c>
      <c r="B88" s="182">
        <v>2023</v>
      </c>
      <c r="C88" s="33">
        <v>2022</v>
      </c>
      <c r="D88" s="204">
        <v>2021</v>
      </c>
      <c r="E88" s="204">
        <v>2020</v>
      </c>
      <c r="F88" s="204">
        <v>2019</v>
      </c>
    </row>
    <row r="89" spans="1:9" ht="21.75" customHeight="1">
      <c r="A89" s="21" t="s">
        <v>589</v>
      </c>
      <c r="B89" s="35">
        <f>SUM(B16,B23)/Production!B23</f>
        <v>671.94031071136544</v>
      </c>
      <c r="C89" s="20">
        <f>(C16+C23)/Production!C23</f>
        <v>644.52963875205251</v>
      </c>
      <c r="D89" s="20">
        <f>(D16+D23)/Production!D23</f>
        <v>661.34860403356583</v>
      </c>
      <c r="E89" s="20">
        <f>(E16+E23)/Production!E23</f>
        <v>637.54322555407907</v>
      </c>
      <c r="F89" s="20">
        <f>(F16+F23)/Production!F23</f>
        <v>553.2311500359541</v>
      </c>
    </row>
    <row r="90" spans="1:9" ht="21.75" customHeight="1">
      <c r="A90" s="21" t="s">
        <v>590</v>
      </c>
      <c r="B90" s="20">
        <f>SUM(B17,B24)/Production!B24</f>
        <v>1584.916149068323</v>
      </c>
      <c r="C90" s="20">
        <f>(C17+C24)/Production!C24</f>
        <v>1481.5154207317225</v>
      </c>
      <c r="D90" s="20">
        <f>(D17+D24)/Production!D24</f>
        <v>1589.494719404554</v>
      </c>
      <c r="E90" s="20">
        <f>(E17+E24)/Production!E24</f>
        <v>1760.1584778581755</v>
      </c>
      <c r="F90" s="20">
        <f>(F17+F24)/Production!F24</f>
        <v>1965.3534032751586</v>
      </c>
    </row>
    <row r="91" spans="1:9" ht="21.75" customHeight="1">
      <c r="A91" s="21" t="s">
        <v>645</v>
      </c>
      <c r="B91" s="35">
        <f>SUM(B18,B25)/Production!B27</f>
        <v>670.00568181818187</v>
      </c>
      <c r="C91" s="20">
        <f>(C18+C25)/Production!C27</f>
        <v>645.80749343832019</v>
      </c>
      <c r="D91" s="20">
        <f>(D18+D25)/Production!D27</f>
        <v>610.39367121687872</v>
      </c>
      <c r="E91" s="20">
        <f>(E18+E25)/Production!E27</f>
        <v>637.61547072293217</v>
      </c>
      <c r="F91" s="20">
        <f>(F18+F25)/Production!F27</f>
        <v>636.46464140336127</v>
      </c>
    </row>
    <row r="92" spans="1:9" ht="21.75" customHeight="1">
      <c r="A92" s="51" t="s">
        <v>640</v>
      </c>
      <c r="B92" s="35">
        <f>SUM(B19,B26)/Production!B28</f>
        <v>638.0167364016736</v>
      </c>
      <c r="C92" s="20">
        <f>(C19+C26)/Production!C28</f>
        <v>587.27692307692303</v>
      </c>
      <c r="D92" s="20">
        <f>(D19+D26)/Production!D28</f>
        <v>612.20405809784563</v>
      </c>
      <c r="E92" s="20">
        <f>(E19+E26)/Production!E28</f>
        <v>709.44192510854543</v>
      </c>
      <c r="F92" s="20">
        <f>(F19+F26)/Production!F28</f>
        <v>506.49895172466483</v>
      </c>
    </row>
    <row r="93" spans="1:9" ht="21.75" customHeight="1">
      <c r="A93" s="155" t="s">
        <v>672</v>
      </c>
      <c r="B93" s="205">
        <f>SUM(B20,B27)/Production!B29</f>
        <v>786.60876558102132</v>
      </c>
      <c r="C93" s="205">
        <f>(C20+C27)/Production!C29</f>
        <v>746.01692679127916</v>
      </c>
      <c r="D93" s="205">
        <f>(D20+D27)/Production!D29</f>
        <v>750.76652295520273</v>
      </c>
      <c r="E93" s="205">
        <f>(E20+E27)/Production!E29</f>
        <v>690.23181266435745</v>
      </c>
      <c r="F93" s="205">
        <f>(F20+F27)/Production!F29</f>
        <v>649.43061772670455</v>
      </c>
    </row>
    <row r="94" spans="1:9" ht="21.75" customHeight="1">
      <c r="A94" s="19"/>
      <c r="B94" s="96"/>
      <c r="C94" s="96"/>
      <c r="D94" s="96"/>
      <c r="E94" s="96"/>
      <c r="F94" s="220"/>
    </row>
    <row r="95" spans="1:9" ht="21.75" customHeight="1">
      <c r="A95" s="203" t="s">
        <v>811</v>
      </c>
      <c r="B95" s="182">
        <v>2023</v>
      </c>
      <c r="C95" s="33">
        <v>2022</v>
      </c>
      <c r="D95" s="204">
        <v>2021</v>
      </c>
      <c r="E95" s="204">
        <v>2020</v>
      </c>
      <c r="F95" s="204">
        <v>2019</v>
      </c>
    </row>
    <row r="96" spans="1:9" ht="21.75" customHeight="1">
      <c r="A96" s="21" t="s">
        <v>589</v>
      </c>
      <c r="B96" s="206">
        <f>SUM(B16,B23)/Production!B4/1000</f>
        <v>15.926027131782945</v>
      </c>
      <c r="C96" s="206">
        <f>(C16+C23)/Production!C4/1000</f>
        <v>13.652819130434782</v>
      </c>
      <c r="D96" s="165">
        <f>(D16+D23)/Production!D4/1000</f>
        <v>13.794587157471504</v>
      </c>
      <c r="E96" s="165">
        <f>(E16+E23)/Production!E4/1000</f>
        <v>16.510254454379513</v>
      </c>
      <c r="F96" s="165">
        <f>(F16+F23)/Production!F4/1000</f>
        <v>13.561780797369709</v>
      </c>
    </row>
    <row r="97" spans="1:10" ht="21.75" customHeight="1">
      <c r="A97" s="21" t="s">
        <v>590</v>
      </c>
      <c r="B97" s="206">
        <f>SUM(B17,B24)/Production!B5/1000</f>
        <v>268.60157894736841</v>
      </c>
      <c r="C97" s="206">
        <f>(C17+C24)/Production!C5/1000</f>
        <v>269.96503222222498</v>
      </c>
      <c r="D97" s="165">
        <f>(D17+D24)/Production!D5/1000</f>
        <v>267.32293103448279</v>
      </c>
      <c r="E97" s="165">
        <f>(E17+E24)/Production!E5/1000</f>
        <v>330.00012066115704</v>
      </c>
      <c r="F97" s="165">
        <f>(F17+F24)/Production!F5/1000</f>
        <v>379.51386086956524</v>
      </c>
    </row>
    <row r="98" spans="1:10" ht="21.75" customHeight="1">
      <c r="A98" s="51" t="s">
        <v>645</v>
      </c>
      <c r="B98" s="206">
        <f>SUM(B18,B25)/Production!B6/1000</f>
        <v>4.7027318045862412</v>
      </c>
      <c r="C98" s="206">
        <f>(C18+C25)/Production!C6/1000</f>
        <v>4.5188733700642789</v>
      </c>
      <c r="D98" s="165">
        <f>(D18+D25)/Production!D6/1000</f>
        <v>4.094424624027666</v>
      </c>
      <c r="E98" s="165">
        <f>(E18+E25)/Production!E6/1000</f>
        <v>4.0439073678947688</v>
      </c>
      <c r="F98" s="165">
        <f>(F18+F25)/Production!F6/1000</f>
        <v>3.6565982906937684</v>
      </c>
    </row>
    <row r="99" spans="1:10" ht="21.75" customHeight="1">
      <c r="A99" s="51" t="s">
        <v>640</v>
      </c>
      <c r="B99" s="206">
        <f>SUM(B19,B26)/Production!B7/1000</f>
        <v>6.1239357429718879</v>
      </c>
      <c r="C99" s="206">
        <f>(C19+C26)/Production!C7/1000</f>
        <v>5.1936054421768709</v>
      </c>
      <c r="D99" s="165">
        <f>(D19+D26)/Production!D7/1000</f>
        <v>5.3709946996466424</v>
      </c>
      <c r="E99" s="165">
        <f>(E19+E26)/Production!E7/1000</f>
        <v>8.0624352360043918</v>
      </c>
      <c r="F99" s="165">
        <f>(F19+F26)/Production!F7/1000</f>
        <v>6.6354180841539838</v>
      </c>
    </row>
    <row r="100" spans="1:10" ht="21.75" customHeight="1">
      <c r="A100" s="155" t="s">
        <v>672</v>
      </c>
      <c r="B100" s="207">
        <f>SUM(B20,B27)/Production!B8/1000</f>
        <v>10.947375489647454</v>
      </c>
      <c r="C100" s="207">
        <f>(C20+C27)/Production!C8/1000</f>
        <v>9.695199736842131</v>
      </c>
      <c r="D100" s="208">
        <f>(D20+D27)/Production!D8/1000</f>
        <v>9.2078096568237235</v>
      </c>
      <c r="E100" s="208">
        <f>(E20+E27)/Production!E8/1000</f>
        <v>8.8426055169180522</v>
      </c>
      <c r="F100" s="208">
        <f>(F20+F27)/Production!F8/1000</f>
        <v>7.5643539415006442</v>
      </c>
    </row>
    <row r="101" spans="1:10" ht="21.75" customHeight="1">
      <c r="A101" s="19"/>
      <c r="B101" s="19"/>
      <c r="C101" s="19"/>
      <c r="D101" s="96"/>
      <c r="E101" s="96"/>
      <c r="F101" s="220"/>
      <c r="H101" s="106"/>
    </row>
    <row r="102" spans="1:10" ht="21.75" customHeight="1">
      <c r="A102" s="32" t="s">
        <v>812</v>
      </c>
      <c r="B102" s="182">
        <v>2023</v>
      </c>
      <c r="C102" s="33">
        <v>2022</v>
      </c>
      <c r="D102" s="17" t="s">
        <v>813</v>
      </c>
      <c r="E102" s="33">
        <v>2020</v>
      </c>
      <c r="F102" s="33">
        <v>2019</v>
      </c>
      <c r="G102" s="33">
        <v>2018</v>
      </c>
      <c r="H102" s="33">
        <v>2017</v>
      </c>
      <c r="I102" s="33">
        <v>2016</v>
      </c>
      <c r="J102" s="33">
        <v>2015</v>
      </c>
    </row>
    <row r="103" spans="1:10" ht="21.75" customHeight="1">
      <c r="A103" s="21" t="s">
        <v>814</v>
      </c>
      <c r="B103" s="20">
        <v>1276</v>
      </c>
      <c r="C103" s="20">
        <v>1080</v>
      </c>
      <c r="D103" s="20">
        <v>1208</v>
      </c>
      <c r="E103" s="20">
        <v>1085</v>
      </c>
      <c r="F103" s="20">
        <v>404.60199999999998</v>
      </c>
      <c r="G103" s="20">
        <v>410.51251000000002</v>
      </c>
      <c r="H103" s="20">
        <v>176.40100000000001</v>
      </c>
      <c r="I103" s="20">
        <v>321.053</v>
      </c>
      <c r="J103" s="175">
        <v>777.91399999999999</v>
      </c>
    </row>
    <row r="104" spans="1:10" ht="21.75" customHeight="1">
      <c r="A104" s="21" t="s">
        <v>815</v>
      </c>
      <c r="B104" s="20">
        <f>SUM(C104,B103)</f>
        <v>6739</v>
      </c>
      <c r="C104" s="20">
        <v>5463</v>
      </c>
      <c r="D104" s="20">
        <f>SUM(E104,D103)</f>
        <v>4383</v>
      </c>
      <c r="E104" s="20">
        <v>3175</v>
      </c>
      <c r="F104" s="20">
        <v>2090.4825099999998</v>
      </c>
      <c r="G104" s="20">
        <v>1685.88051</v>
      </c>
      <c r="H104" s="20">
        <v>1275.3679999999999</v>
      </c>
      <c r="I104" s="20">
        <v>1098.9670000000001</v>
      </c>
      <c r="J104" s="175">
        <v>0</v>
      </c>
    </row>
    <row r="105" spans="1:10" ht="21.75" customHeight="1">
      <c r="A105" s="21" t="s">
        <v>816</v>
      </c>
      <c r="B105" s="20">
        <v>201</v>
      </c>
      <c r="C105" s="20">
        <v>302</v>
      </c>
      <c r="D105" s="35">
        <v>306.14999999999998</v>
      </c>
      <c r="E105" s="35">
        <v>234.01</v>
      </c>
      <c r="F105" s="35">
        <v>148.16</v>
      </c>
      <c r="G105" s="35">
        <v>152.917</v>
      </c>
      <c r="H105" s="35">
        <v>122.28</v>
      </c>
      <c r="I105" s="35">
        <v>61.81</v>
      </c>
      <c r="J105" s="175">
        <v>108.55200000000001</v>
      </c>
    </row>
    <row r="106" spans="1:10" ht="21.75" customHeight="1">
      <c r="A106" s="21" t="s">
        <v>817</v>
      </c>
      <c r="B106" s="20">
        <f>SUM(C106,B105)</f>
        <v>1528</v>
      </c>
      <c r="C106" s="20">
        <v>1327</v>
      </c>
      <c r="D106" s="22">
        <v>1025</v>
      </c>
      <c r="E106" s="108">
        <v>719</v>
      </c>
      <c r="F106" s="108">
        <v>485</v>
      </c>
      <c r="G106" s="108">
        <v>337</v>
      </c>
      <c r="H106" s="108">
        <v>184.1</v>
      </c>
      <c r="I106" s="108">
        <v>61.81</v>
      </c>
      <c r="J106" s="175">
        <v>0</v>
      </c>
    </row>
    <row r="107" spans="1:10" ht="21.75" customHeight="1">
      <c r="A107" s="21" t="s">
        <v>818</v>
      </c>
      <c r="B107" s="20">
        <v>28</v>
      </c>
      <c r="C107" s="20">
        <v>53</v>
      </c>
      <c r="D107" s="20">
        <v>34</v>
      </c>
      <c r="E107" s="20">
        <v>25</v>
      </c>
      <c r="F107" s="20">
        <v>27</v>
      </c>
      <c r="G107" s="20">
        <v>29</v>
      </c>
      <c r="H107" s="20">
        <v>22</v>
      </c>
      <c r="I107" s="20">
        <v>11</v>
      </c>
      <c r="J107" s="175">
        <v>30</v>
      </c>
    </row>
    <row r="108" spans="1:10" ht="21.75" customHeight="1">
      <c r="A108" s="21" t="s">
        <v>819</v>
      </c>
      <c r="B108" s="20">
        <f>SUM(C108,B107)</f>
        <v>259</v>
      </c>
      <c r="C108" s="20">
        <v>231</v>
      </c>
      <c r="D108" s="20">
        <f>SUM(E108,D107)</f>
        <v>178</v>
      </c>
      <c r="E108" s="20">
        <v>144</v>
      </c>
      <c r="F108" s="20">
        <f>SUM(G108,F107)</f>
        <v>119</v>
      </c>
      <c r="G108" s="20">
        <f>SUM(H108,G107)</f>
        <v>92</v>
      </c>
      <c r="H108" s="20">
        <f>SUM(I108,H107)</f>
        <v>63</v>
      </c>
      <c r="I108" s="20">
        <f>SUM(I107,J107)</f>
        <v>41</v>
      </c>
    </row>
    <row r="109" spans="1:10" ht="21.75" customHeight="1">
      <c r="A109" s="21" t="s">
        <v>820</v>
      </c>
      <c r="B109" s="20">
        <v>2487</v>
      </c>
      <c r="C109" s="20">
        <v>2568</v>
      </c>
      <c r="D109" s="20">
        <v>2459</v>
      </c>
      <c r="E109" s="20">
        <v>2329</v>
      </c>
      <c r="F109" s="20">
        <v>2206</v>
      </c>
      <c r="G109" s="20">
        <v>2036</v>
      </c>
      <c r="H109" s="20">
        <v>2160</v>
      </c>
      <c r="I109" s="20">
        <v>2146</v>
      </c>
      <c r="J109" s="175">
        <v>2159</v>
      </c>
    </row>
    <row r="110" spans="1:10" ht="21.75" customHeight="1">
      <c r="A110" s="155" t="s">
        <v>821</v>
      </c>
      <c r="B110" s="209" t="s">
        <v>822</v>
      </c>
      <c r="C110" s="209" t="s">
        <v>823</v>
      </c>
      <c r="D110" s="209" t="s">
        <v>824</v>
      </c>
      <c r="E110" s="209" t="s">
        <v>825</v>
      </c>
      <c r="F110" s="209" t="s">
        <v>826</v>
      </c>
      <c r="G110" s="209" t="s">
        <v>827</v>
      </c>
      <c r="H110" s="209" t="s">
        <v>828</v>
      </c>
      <c r="I110" s="209" t="s">
        <v>829</v>
      </c>
      <c r="J110" s="210">
        <f>J107/J109*1000</f>
        <v>13.895321908290875</v>
      </c>
    </row>
    <row r="111" spans="1:10" ht="27.5" customHeight="1">
      <c r="A111" s="744" t="s">
        <v>830</v>
      </c>
      <c r="B111" s="744"/>
      <c r="C111" s="744"/>
      <c r="D111" s="744"/>
      <c r="E111" s="744"/>
      <c r="F111" s="744"/>
      <c r="G111" s="744"/>
      <c r="H111" s="744"/>
      <c r="I111" s="744"/>
      <c r="J111" s="744"/>
    </row>
    <row r="112" spans="1:10" ht="15" customHeight="1">
      <c r="A112" s="51" t="s">
        <v>831</v>
      </c>
    </row>
    <row r="113" spans="1:10" ht="15" customHeight="1">
      <c r="A113" s="740" t="s">
        <v>832</v>
      </c>
      <c r="B113" s="685"/>
      <c r="C113" s="685"/>
      <c r="D113" s="685"/>
    </row>
    <row r="114" spans="1:10" ht="15" customHeight="1">
      <c r="A114" s="740" t="s">
        <v>833</v>
      </c>
      <c r="B114" s="685"/>
      <c r="C114" s="685"/>
      <c r="D114" s="685"/>
      <c r="E114" s="685"/>
      <c r="F114" s="685"/>
      <c r="G114" s="685"/>
      <c r="H114" s="685"/>
      <c r="I114" s="685"/>
      <c r="J114" s="685"/>
    </row>
    <row r="115" spans="1:10" ht="15" customHeight="1">
      <c r="A115" s="740" t="s">
        <v>834</v>
      </c>
      <c r="B115" s="685"/>
      <c r="C115" s="685"/>
      <c r="D115" s="685"/>
      <c r="E115" s="685"/>
      <c r="F115" s="685"/>
      <c r="G115" s="685"/>
      <c r="H115" s="685"/>
      <c r="I115" s="685"/>
      <c r="J115" s="685"/>
    </row>
    <row r="116" spans="1:10" ht="15" customHeight="1">
      <c r="A116" s="740" t="s">
        <v>835</v>
      </c>
      <c r="B116" s="685"/>
      <c r="C116" s="685"/>
      <c r="D116" s="685"/>
    </row>
    <row r="117" spans="1:10" ht="15" customHeight="1"/>
  </sheetData>
  <sheetProtection algorithmName="SHA-512" hashValue="qURXM/uoj29wVpFQ2Ud/5uzZudQvkS5k04FmipqA+naYKthJwh5LAjEqLijAWiDUQ+CPMDJ1Xtjj1HOG9/9ALQ==" saltValue="3gGThxWugRX6SFh+mfNjGQ==" spinCount="100000" sheet="1" objects="1" scenarios="1"/>
  <mergeCells count="20">
    <mergeCell ref="A113:D113"/>
    <mergeCell ref="A116:D116"/>
    <mergeCell ref="A111:J111"/>
    <mergeCell ref="A115:J115"/>
    <mergeCell ref="A114:J114"/>
    <mergeCell ref="A64:E64"/>
    <mergeCell ref="A81:D81"/>
    <mergeCell ref="A86:D86"/>
    <mergeCell ref="A84:I84"/>
    <mergeCell ref="A85:I85"/>
    <mergeCell ref="A48:I48"/>
    <mergeCell ref="A50:E50"/>
    <mergeCell ref="A49:D49"/>
    <mergeCell ref="A52:I52"/>
    <mergeCell ref="A51:I51"/>
    <mergeCell ref="A13:I13"/>
    <mergeCell ref="A28:D28"/>
    <mergeCell ref="A36:D36"/>
    <mergeCell ref="A45:D45"/>
    <mergeCell ref="A47:I47"/>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5"/>
  <sheetViews>
    <sheetView showGridLines="0" showRuler="0" topLeftCell="A59" workbookViewId="0">
      <selection activeCell="Q44" sqref="Q44"/>
    </sheetView>
  </sheetViews>
  <sheetFormatPr baseColWidth="10" defaultColWidth="12.83203125" defaultRowHeight="13"/>
  <cols>
    <col min="1" max="1" width="62.83203125" customWidth="1"/>
    <col min="2" max="2" width="22.5" customWidth="1"/>
    <col min="3" max="3" width="14.6640625" customWidth="1"/>
    <col min="4" max="9" width="14.33203125" customWidth="1"/>
    <col min="10" max="11" width="0" hidden="1"/>
    <col min="12" max="13" width="9" customWidth="1"/>
  </cols>
  <sheetData>
    <row r="1" spans="1:13" ht="21.75" customHeight="1">
      <c r="A1" s="32" t="s">
        <v>836</v>
      </c>
      <c r="B1" s="32"/>
      <c r="C1" s="32"/>
      <c r="D1" s="17"/>
      <c r="E1" s="17"/>
      <c r="F1" s="17"/>
      <c r="G1" s="17"/>
      <c r="H1" s="17"/>
      <c r="I1" s="17"/>
    </row>
    <row r="2" spans="1:13" ht="21.75" customHeight="1"/>
    <row r="3" spans="1:13" ht="21.75" customHeight="1">
      <c r="A3" s="32" t="s">
        <v>589</v>
      </c>
      <c r="B3" s="33">
        <v>2023</v>
      </c>
      <c r="C3" s="33">
        <v>2022</v>
      </c>
      <c r="D3" s="33">
        <v>2021</v>
      </c>
      <c r="E3" s="33">
        <v>2020</v>
      </c>
      <c r="F3" s="33">
        <v>2019</v>
      </c>
      <c r="G3" s="33">
        <v>2018</v>
      </c>
      <c r="H3" s="33">
        <v>2017</v>
      </c>
      <c r="I3" s="33">
        <v>2016</v>
      </c>
    </row>
    <row r="4" spans="1:13" ht="21.75" customHeight="1">
      <c r="A4" s="21" t="s">
        <v>837</v>
      </c>
      <c r="B4" s="20">
        <v>2586</v>
      </c>
      <c r="C4" s="20">
        <v>2507</v>
      </c>
      <c r="D4" s="20">
        <v>2414.25</v>
      </c>
      <c r="E4" s="20">
        <v>2031.75</v>
      </c>
      <c r="F4" s="20">
        <v>1944.27</v>
      </c>
      <c r="G4" s="20">
        <v>1657.3</v>
      </c>
      <c r="H4" s="20">
        <v>2070.88</v>
      </c>
      <c r="I4" s="20">
        <v>2095.61451206214</v>
      </c>
    </row>
    <row r="5" spans="1:13" ht="21.75" customHeight="1">
      <c r="A5" s="21" t="s">
        <v>838</v>
      </c>
      <c r="B5" s="20">
        <v>2958</v>
      </c>
      <c r="C5" s="20">
        <v>2826</v>
      </c>
      <c r="D5" s="20">
        <v>2718.39</v>
      </c>
      <c r="E5" s="20">
        <v>2630.06</v>
      </c>
      <c r="F5" s="20">
        <v>1920</v>
      </c>
      <c r="G5" s="20">
        <v>1442</v>
      </c>
      <c r="H5" s="20">
        <v>1513.4</v>
      </c>
      <c r="I5" s="20">
        <v>1462.8847800065</v>
      </c>
    </row>
    <row r="6" spans="1:13" ht="21.75" customHeight="1">
      <c r="A6" s="21" t="s">
        <v>773</v>
      </c>
      <c r="B6" s="108">
        <v>83</v>
      </c>
      <c r="C6" s="35">
        <v>70</v>
      </c>
      <c r="D6" s="20">
        <v>74.77</v>
      </c>
      <c r="E6" s="20">
        <v>41.013709762732901</v>
      </c>
      <c r="F6" s="20">
        <v>44.02</v>
      </c>
      <c r="G6" s="20">
        <v>42.53</v>
      </c>
      <c r="H6" s="20">
        <v>47.24</v>
      </c>
      <c r="I6" s="20">
        <v>45.95</v>
      </c>
    </row>
    <row r="7" spans="1:13" ht="21.75" customHeight="1">
      <c r="A7" s="21" t="s">
        <v>839</v>
      </c>
      <c r="B7" s="22">
        <v>5627</v>
      </c>
      <c r="C7" s="20">
        <v>5403</v>
      </c>
      <c r="D7" s="136">
        <v>5207</v>
      </c>
      <c r="E7" s="24" t="s">
        <v>840</v>
      </c>
      <c r="F7" s="24" t="s">
        <v>841</v>
      </c>
      <c r="G7" s="24" t="s">
        <v>842</v>
      </c>
      <c r="H7" s="24" t="s">
        <v>843</v>
      </c>
      <c r="I7" s="24" t="s">
        <v>844</v>
      </c>
      <c r="M7" s="21" t="s">
        <v>845</v>
      </c>
    </row>
    <row r="8" spans="1:13" ht="21.75" customHeight="1">
      <c r="A8" s="21" t="s">
        <v>846</v>
      </c>
      <c r="B8" s="24" t="s">
        <v>847</v>
      </c>
      <c r="C8" s="24" t="s">
        <v>847</v>
      </c>
      <c r="D8" s="24" t="s">
        <v>847</v>
      </c>
      <c r="E8" s="24" t="s">
        <v>848</v>
      </c>
      <c r="F8" s="24" t="s">
        <v>849</v>
      </c>
      <c r="G8" s="23" t="s">
        <v>850</v>
      </c>
      <c r="H8" s="24" t="s">
        <v>851</v>
      </c>
      <c r="I8" s="24" t="s">
        <v>852</v>
      </c>
    </row>
    <row r="9" spans="1:13" ht="21.75" customHeight="1">
      <c r="A9" s="21" t="s">
        <v>853</v>
      </c>
      <c r="B9" s="35">
        <v>153</v>
      </c>
      <c r="C9" s="35">
        <v>146</v>
      </c>
      <c r="D9" s="35">
        <v>124</v>
      </c>
      <c r="E9" s="108">
        <f>Energy!E55</f>
        <v>83.8</v>
      </c>
      <c r="F9" s="108">
        <v>81</v>
      </c>
      <c r="G9" s="108">
        <v>78</v>
      </c>
      <c r="H9" s="35">
        <v>81</v>
      </c>
      <c r="I9" s="35">
        <v>83.9</v>
      </c>
    </row>
    <row r="10" spans="1:13" ht="21.75" customHeight="1">
      <c r="A10" s="21" t="s">
        <v>854</v>
      </c>
      <c r="B10" s="35">
        <v>125</v>
      </c>
      <c r="C10" s="35">
        <v>120</v>
      </c>
      <c r="D10" s="35">
        <v>108.83</v>
      </c>
      <c r="E10" s="35">
        <v>73</v>
      </c>
      <c r="F10" s="108">
        <v>84</v>
      </c>
      <c r="G10" s="108">
        <v>88</v>
      </c>
      <c r="H10" s="35">
        <v>86</v>
      </c>
      <c r="I10" s="35">
        <v>89</v>
      </c>
    </row>
    <row r="11" spans="1:13" ht="21.75" customHeight="1">
      <c r="A11" s="21" t="s">
        <v>855</v>
      </c>
      <c r="B11" s="35">
        <v>870</v>
      </c>
      <c r="C11" s="35">
        <v>842</v>
      </c>
      <c r="D11" s="35">
        <v>973</v>
      </c>
      <c r="E11" s="35">
        <v>831</v>
      </c>
      <c r="F11" s="35">
        <v>293</v>
      </c>
      <c r="G11" s="108">
        <v>207</v>
      </c>
      <c r="H11" s="35">
        <v>21</v>
      </c>
      <c r="I11" s="35">
        <v>196</v>
      </c>
    </row>
    <row r="12" spans="1:13" ht="21.75" customHeight="1">
      <c r="A12" s="21" t="s">
        <v>856</v>
      </c>
      <c r="B12" s="116">
        <v>12.8</v>
      </c>
      <c r="C12" s="116">
        <v>22.8</v>
      </c>
      <c r="D12" s="117">
        <v>8.6999999999999993</v>
      </c>
      <c r="E12" s="117">
        <v>3.2</v>
      </c>
      <c r="F12" s="117">
        <v>7.6</v>
      </c>
      <c r="G12" s="221">
        <v>10.5</v>
      </c>
      <c r="H12" s="117">
        <v>3.4</v>
      </c>
      <c r="I12" s="117">
        <v>7.32</v>
      </c>
    </row>
    <row r="13" spans="1:13" ht="21.75" customHeight="1">
      <c r="A13" s="21" t="s">
        <v>857</v>
      </c>
      <c r="B13" s="35">
        <v>95</v>
      </c>
      <c r="C13" s="35">
        <v>90</v>
      </c>
      <c r="D13" s="117">
        <v>90.3</v>
      </c>
      <c r="E13" s="117">
        <v>74.599999999999994</v>
      </c>
      <c r="F13" s="117">
        <v>42.6</v>
      </c>
      <c r="G13" s="221">
        <v>33.6</v>
      </c>
      <c r="H13" s="117">
        <v>25.82</v>
      </c>
      <c r="I13" s="117">
        <v>37.17</v>
      </c>
    </row>
    <row r="14" spans="1:13" ht="21.75" customHeight="1">
      <c r="A14" s="144" t="s">
        <v>858</v>
      </c>
      <c r="F14" s="23"/>
      <c r="G14" s="23"/>
      <c r="H14" s="23"/>
      <c r="I14" s="23"/>
    </row>
    <row r="15" spans="1:13" ht="21.75" customHeight="1">
      <c r="A15" s="21" t="s">
        <v>859</v>
      </c>
      <c r="B15" s="625">
        <v>0.24</v>
      </c>
      <c r="C15" s="625">
        <v>0.24</v>
      </c>
      <c r="D15" s="625">
        <v>0.25</v>
      </c>
      <c r="E15" s="625">
        <v>0.24</v>
      </c>
      <c r="F15" s="625">
        <v>0.4</v>
      </c>
      <c r="G15" s="626">
        <v>0.62</v>
      </c>
      <c r="H15" s="626">
        <v>0.67</v>
      </c>
      <c r="I15" s="626">
        <v>0.71</v>
      </c>
    </row>
    <row r="16" spans="1:13" ht="21.75" customHeight="1">
      <c r="A16" s="155" t="s">
        <v>860</v>
      </c>
      <c r="B16" s="627">
        <v>0.13</v>
      </c>
      <c r="C16" s="627">
        <v>0.12</v>
      </c>
      <c r="D16" s="627">
        <v>0.1</v>
      </c>
      <c r="E16" s="627">
        <v>0.08</v>
      </c>
      <c r="F16" s="627">
        <v>0.01</v>
      </c>
      <c r="G16" s="628">
        <v>0</v>
      </c>
      <c r="H16" s="628">
        <v>0</v>
      </c>
      <c r="I16" s="628">
        <v>0</v>
      </c>
    </row>
    <row r="17" spans="1:9" ht="19.25" customHeight="1">
      <c r="A17" s="185" t="s">
        <v>776</v>
      </c>
      <c r="B17" s="185"/>
      <c r="C17" s="185"/>
      <c r="D17" s="19"/>
      <c r="E17" s="19"/>
      <c r="F17" s="19"/>
      <c r="G17" s="19"/>
      <c r="H17" s="19"/>
      <c r="I17" s="19"/>
    </row>
    <row r="18" spans="1:9" ht="19.25" customHeight="1">
      <c r="A18" s="31" t="s">
        <v>861</v>
      </c>
    </row>
    <row r="19" spans="1:9" ht="19.25" customHeight="1">
      <c r="A19" s="51" t="s">
        <v>862</v>
      </c>
    </row>
    <row r="20" spans="1:9" ht="19.25" customHeight="1">
      <c r="A20" s="51" t="s">
        <v>863</v>
      </c>
    </row>
    <row r="21" spans="1:9" ht="21.75" customHeight="1"/>
    <row r="22" spans="1:9" ht="21.75" customHeight="1">
      <c r="A22" s="32" t="s">
        <v>590</v>
      </c>
      <c r="B22" s="33">
        <v>2023</v>
      </c>
      <c r="C22" s="33">
        <v>2022</v>
      </c>
      <c r="D22" s="33">
        <v>2021</v>
      </c>
      <c r="E22" s="33">
        <v>2020</v>
      </c>
      <c r="F22" s="33">
        <v>2019</v>
      </c>
      <c r="G22" s="33">
        <v>2018</v>
      </c>
      <c r="H22" s="33">
        <v>2017</v>
      </c>
      <c r="I22" s="33">
        <v>2016</v>
      </c>
    </row>
    <row r="23" spans="1:9" ht="21.75" customHeight="1">
      <c r="A23" s="21" t="s">
        <v>837</v>
      </c>
      <c r="B23" s="35">
        <v>125</v>
      </c>
      <c r="C23" s="35">
        <v>130</v>
      </c>
      <c r="D23" s="20">
        <v>109.66</v>
      </c>
      <c r="E23" s="20">
        <v>80.7359974090934</v>
      </c>
      <c r="F23" s="20">
        <v>75.790000000000006</v>
      </c>
      <c r="G23" s="20">
        <v>70.53</v>
      </c>
      <c r="H23" s="20">
        <v>108.57</v>
      </c>
      <c r="I23" s="20">
        <v>110.18</v>
      </c>
    </row>
    <row r="24" spans="1:9" ht="21.75" customHeight="1">
      <c r="A24" s="21" t="s">
        <v>838</v>
      </c>
      <c r="B24" s="20">
        <v>1837</v>
      </c>
      <c r="C24" s="20">
        <v>1749</v>
      </c>
      <c r="D24" s="20">
        <v>1674.5</v>
      </c>
      <c r="E24" s="20">
        <v>1437.4690258477899</v>
      </c>
      <c r="F24" s="20">
        <v>1571.17</v>
      </c>
      <c r="G24" s="20">
        <v>1619.01</v>
      </c>
      <c r="H24" s="20">
        <v>1792.12</v>
      </c>
      <c r="I24" s="20">
        <v>1893</v>
      </c>
    </row>
    <row r="25" spans="1:9" ht="21.75" customHeight="1">
      <c r="A25" s="21" t="s">
        <v>773</v>
      </c>
      <c r="B25" s="116">
        <v>0.24</v>
      </c>
      <c r="C25" s="116">
        <v>0.28000000000000003</v>
      </c>
      <c r="D25" s="20">
        <v>0.22</v>
      </c>
      <c r="E25" s="20">
        <v>0.38162586746626698</v>
      </c>
      <c r="F25" s="20">
        <v>0.67</v>
      </c>
      <c r="G25" s="20">
        <v>0.71</v>
      </c>
      <c r="H25" s="20">
        <v>2.02</v>
      </c>
      <c r="I25" s="20">
        <v>2.72</v>
      </c>
    </row>
    <row r="26" spans="1:9" ht="21.75" customHeight="1">
      <c r="A26" s="21" t="s">
        <v>839</v>
      </c>
      <c r="B26" s="20">
        <v>1963</v>
      </c>
      <c r="C26" s="20">
        <v>1879</v>
      </c>
      <c r="D26" s="24" t="s">
        <v>864</v>
      </c>
      <c r="E26" s="24" t="s">
        <v>865</v>
      </c>
      <c r="F26" s="24" t="s">
        <v>866</v>
      </c>
      <c r="G26" s="24" t="s">
        <v>867</v>
      </c>
      <c r="H26" s="24" t="s">
        <v>868</v>
      </c>
      <c r="I26" s="24" t="s">
        <v>869</v>
      </c>
    </row>
    <row r="27" spans="1:9" ht="21.75" customHeight="1">
      <c r="A27" s="21" t="s">
        <v>846</v>
      </c>
      <c r="B27" s="24" t="s">
        <v>870</v>
      </c>
      <c r="C27" s="24" t="s">
        <v>870</v>
      </c>
      <c r="D27" s="24" t="s">
        <v>871</v>
      </c>
      <c r="E27" s="23" t="s">
        <v>872</v>
      </c>
      <c r="F27" s="23" t="s">
        <v>872</v>
      </c>
      <c r="G27" s="23" t="s">
        <v>873</v>
      </c>
      <c r="H27" s="24" t="s">
        <v>871</v>
      </c>
      <c r="I27" s="24" t="s">
        <v>871</v>
      </c>
    </row>
    <row r="28" spans="1:9" ht="21.75" customHeight="1">
      <c r="A28" s="21" t="s">
        <v>853</v>
      </c>
      <c r="B28" s="35">
        <v>45</v>
      </c>
      <c r="C28" s="35">
        <v>45</v>
      </c>
      <c r="D28" s="35">
        <f>Energy!D56</f>
        <v>42.74</v>
      </c>
      <c r="E28" s="222">
        <f>Energy!E56</f>
        <v>28.6</v>
      </c>
      <c r="F28" s="108">
        <v>32</v>
      </c>
      <c r="G28" s="108">
        <v>33</v>
      </c>
      <c r="H28" s="35">
        <v>34</v>
      </c>
      <c r="I28" s="35">
        <v>32</v>
      </c>
    </row>
    <row r="29" spans="1:9" ht="21.75" customHeight="1">
      <c r="A29" s="21" t="s">
        <v>854</v>
      </c>
      <c r="B29" s="35">
        <v>139</v>
      </c>
      <c r="C29" s="35">
        <v>139</v>
      </c>
      <c r="D29" s="35">
        <v>146.08000000000001</v>
      </c>
      <c r="E29" s="108">
        <v>126</v>
      </c>
      <c r="F29" s="108">
        <v>146</v>
      </c>
      <c r="G29" s="108">
        <v>211</v>
      </c>
      <c r="H29" s="35">
        <v>122</v>
      </c>
      <c r="I29" s="35">
        <v>109</v>
      </c>
    </row>
    <row r="30" spans="1:9" ht="21.75" customHeight="1">
      <c r="A30" s="21" t="s">
        <v>855</v>
      </c>
      <c r="B30" s="35">
        <v>323</v>
      </c>
      <c r="C30" s="35">
        <v>115</v>
      </c>
      <c r="D30" s="35">
        <v>145</v>
      </c>
      <c r="E30" s="35">
        <v>176</v>
      </c>
      <c r="F30" s="35">
        <v>57</v>
      </c>
      <c r="G30" s="35">
        <v>24</v>
      </c>
      <c r="H30" s="35">
        <v>26</v>
      </c>
      <c r="I30" s="35">
        <v>25</v>
      </c>
    </row>
    <row r="31" spans="1:9" ht="21.75" customHeight="1">
      <c r="A31" s="21" t="s">
        <v>856</v>
      </c>
      <c r="B31" s="116">
        <v>8.1999999999999993</v>
      </c>
      <c r="C31" s="116">
        <v>3.1</v>
      </c>
      <c r="D31" s="117">
        <v>3.91</v>
      </c>
      <c r="E31" s="117">
        <v>3.65</v>
      </c>
      <c r="F31" s="117">
        <v>1.02</v>
      </c>
      <c r="G31" s="221">
        <v>0.4</v>
      </c>
      <c r="H31" s="117">
        <v>0.4</v>
      </c>
      <c r="I31" s="117">
        <v>0.39</v>
      </c>
    </row>
    <row r="32" spans="1:9" ht="21.75" customHeight="1">
      <c r="A32" s="21" t="s">
        <v>857</v>
      </c>
      <c r="B32" s="116">
        <v>93.2</v>
      </c>
      <c r="C32" s="116">
        <v>33.799999999999997</v>
      </c>
      <c r="D32" s="117">
        <v>42.63</v>
      </c>
      <c r="E32" s="117">
        <v>50.76</v>
      </c>
      <c r="F32" s="117">
        <v>16.79</v>
      </c>
      <c r="G32" s="221">
        <v>6.43</v>
      </c>
      <c r="H32" s="117">
        <v>7.1</v>
      </c>
      <c r="I32" s="117">
        <v>7.01</v>
      </c>
    </row>
    <row r="33" spans="1:9" ht="21.75" customHeight="1">
      <c r="A33" s="144" t="s">
        <v>858</v>
      </c>
      <c r="F33" s="23"/>
      <c r="G33" s="23"/>
      <c r="H33" s="23"/>
      <c r="I33" s="23"/>
    </row>
    <row r="34" spans="1:9" ht="21.75" customHeight="1">
      <c r="A34" s="21" t="s">
        <v>874</v>
      </c>
      <c r="B34" s="35">
        <v>98</v>
      </c>
      <c r="C34" s="35">
        <v>98</v>
      </c>
      <c r="D34" s="223">
        <v>1</v>
      </c>
      <c r="E34" s="35">
        <v>100</v>
      </c>
      <c r="F34" s="223">
        <v>1</v>
      </c>
      <c r="G34" s="224">
        <v>1</v>
      </c>
      <c r="H34" s="224">
        <v>1</v>
      </c>
      <c r="I34" s="224">
        <v>1</v>
      </c>
    </row>
    <row r="35" spans="1:9" ht="21.75" customHeight="1">
      <c r="A35" s="155" t="s">
        <v>875</v>
      </c>
      <c r="B35" s="627">
        <v>0.02</v>
      </c>
      <c r="C35" s="209" t="s">
        <v>876</v>
      </c>
      <c r="D35" s="226">
        <v>0</v>
      </c>
      <c r="E35" s="226">
        <v>0</v>
      </c>
      <c r="F35" s="226">
        <v>0</v>
      </c>
      <c r="G35" s="227">
        <v>0</v>
      </c>
      <c r="H35" s="227">
        <v>0</v>
      </c>
      <c r="I35" s="227">
        <v>0</v>
      </c>
    </row>
    <row r="36" spans="1:9" ht="19.25" customHeight="1">
      <c r="A36" s="185" t="s">
        <v>776</v>
      </c>
      <c r="B36" s="185"/>
      <c r="C36" s="185"/>
      <c r="D36" s="231"/>
      <c r="E36" s="231"/>
      <c r="F36" s="231"/>
      <c r="G36" s="231"/>
      <c r="H36" s="231"/>
      <c r="I36" s="231"/>
    </row>
    <row r="37" spans="1:9" ht="19.25" customHeight="1">
      <c r="A37" s="51" t="s">
        <v>877</v>
      </c>
    </row>
    <row r="38" spans="1:9" ht="19.25" customHeight="1">
      <c r="A38" s="739" t="s">
        <v>878</v>
      </c>
      <c r="B38" s="739"/>
    </row>
    <row r="39" spans="1:9" ht="19.25" customHeight="1">
      <c r="A39" s="31" t="s">
        <v>879</v>
      </c>
      <c r="B39" s="31"/>
    </row>
    <row r="40" spans="1:9" ht="21.75" customHeight="1"/>
    <row r="41" spans="1:9" ht="21.75" customHeight="1">
      <c r="A41" s="32" t="s">
        <v>645</v>
      </c>
      <c r="B41" s="33">
        <v>2023</v>
      </c>
      <c r="C41" s="33">
        <v>2022</v>
      </c>
      <c r="D41" s="33">
        <v>2021</v>
      </c>
      <c r="E41" s="33">
        <v>2020</v>
      </c>
      <c r="F41" s="33">
        <v>2019</v>
      </c>
      <c r="G41" s="33">
        <v>2018</v>
      </c>
      <c r="H41" s="33">
        <v>2017</v>
      </c>
      <c r="I41" s="33">
        <v>2016</v>
      </c>
    </row>
    <row r="42" spans="1:9" ht="21.75" customHeight="1">
      <c r="A42" s="21" t="s">
        <v>837</v>
      </c>
      <c r="B42" s="20">
        <v>2599</v>
      </c>
      <c r="C42" s="20">
        <v>3604</v>
      </c>
      <c r="D42" s="20">
        <v>3853.82</v>
      </c>
      <c r="E42" s="20">
        <v>4121.25</v>
      </c>
      <c r="F42" s="20">
        <v>4079.33</v>
      </c>
      <c r="G42" s="20">
        <v>4066.39</v>
      </c>
      <c r="H42" s="20">
        <v>3979.02</v>
      </c>
      <c r="I42" s="20">
        <v>3433.18</v>
      </c>
    </row>
    <row r="43" spans="1:9" ht="21.75" customHeight="1">
      <c r="A43" s="21" t="s">
        <v>838</v>
      </c>
      <c r="B43" s="20">
        <v>1792</v>
      </c>
      <c r="C43" s="20">
        <v>1780</v>
      </c>
      <c r="D43" s="20">
        <v>1734.32</v>
      </c>
      <c r="E43" s="20">
        <v>1719.73</v>
      </c>
      <c r="F43" s="20">
        <v>1666.78</v>
      </c>
      <c r="G43" s="20">
        <v>1593.77</v>
      </c>
      <c r="H43" s="20">
        <v>1610.21</v>
      </c>
      <c r="I43" s="20">
        <v>1583.14</v>
      </c>
    </row>
    <row r="44" spans="1:9" ht="21.75" customHeight="1">
      <c r="A44" s="21" t="s">
        <v>773</v>
      </c>
      <c r="B44" s="35">
        <v>142</v>
      </c>
      <c r="C44" s="35">
        <v>149</v>
      </c>
      <c r="D44" s="20">
        <v>99.35</v>
      </c>
      <c r="E44" s="20">
        <v>47.436892394287199</v>
      </c>
      <c r="F44" s="20">
        <v>45.54</v>
      </c>
      <c r="G44" s="20">
        <v>53.09</v>
      </c>
      <c r="H44" s="20">
        <v>57.72</v>
      </c>
      <c r="I44" s="20">
        <v>55.77</v>
      </c>
    </row>
    <row r="45" spans="1:9" ht="21.75" customHeight="1">
      <c r="A45" s="21" t="s">
        <v>839</v>
      </c>
      <c r="B45" s="20">
        <v>5228</v>
      </c>
      <c r="C45" s="20">
        <v>5533</v>
      </c>
      <c r="D45" s="24" t="s">
        <v>880</v>
      </c>
      <c r="E45" s="24" t="s">
        <v>881</v>
      </c>
      <c r="F45" s="24" t="s">
        <v>882</v>
      </c>
      <c r="G45" s="24" t="s">
        <v>883</v>
      </c>
      <c r="H45" s="24" t="s">
        <v>884</v>
      </c>
      <c r="I45" s="24" t="s">
        <v>885</v>
      </c>
    </row>
    <row r="46" spans="1:9" ht="21.75" customHeight="1">
      <c r="A46" s="21" t="s">
        <v>846</v>
      </c>
      <c r="B46" s="24" t="s">
        <v>886</v>
      </c>
      <c r="C46" s="24" t="s">
        <v>886</v>
      </c>
      <c r="D46" s="24" t="s">
        <v>887</v>
      </c>
      <c r="E46" s="23" t="s">
        <v>888</v>
      </c>
      <c r="F46" s="23" t="s">
        <v>889</v>
      </c>
      <c r="G46" s="23" t="s">
        <v>889</v>
      </c>
      <c r="H46" s="24" t="s">
        <v>889</v>
      </c>
      <c r="I46" s="24" t="s">
        <v>887</v>
      </c>
    </row>
    <row r="47" spans="1:9" ht="21.75" customHeight="1">
      <c r="A47" s="21" t="s">
        <v>853</v>
      </c>
      <c r="B47" s="35">
        <v>169</v>
      </c>
      <c r="C47" s="35">
        <v>188</v>
      </c>
      <c r="D47" s="35">
        <f>Energy!D57</f>
        <v>143.69999999999999</v>
      </c>
      <c r="E47" s="20">
        <f>Energy!E57</f>
        <v>121.3</v>
      </c>
      <c r="F47" s="108">
        <v>158</v>
      </c>
      <c r="G47" s="108">
        <v>164</v>
      </c>
      <c r="H47" s="35">
        <v>120</v>
      </c>
      <c r="I47" s="35">
        <v>153</v>
      </c>
    </row>
    <row r="48" spans="1:9" ht="21.75" customHeight="1">
      <c r="A48" s="21" t="s">
        <v>854</v>
      </c>
      <c r="B48" s="35">
        <v>240</v>
      </c>
      <c r="C48" s="35">
        <v>247</v>
      </c>
      <c r="D48" s="35">
        <v>185.17</v>
      </c>
      <c r="E48" s="35">
        <v>162</v>
      </c>
      <c r="F48" s="108">
        <v>217</v>
      </c>
      <c r="G48" s="108">
        <v>233</v>
      </c>
      <c r="H48" s="35">
        <v>169</v>
      </c>
      <c r="I48" s="35">
        <v>214</v>
      </c>
    </row>
    <row r="49" spans="1:9" ht="21.75" customHeight="1">
      <c r="A49" s="21" t="s">
        <v>855</v>
      </c>
      <c r="B49" s="35">
        <v>58</v>
      </c>
      <c r="C49" s="35">
        <v>106</v>
      </c>
      <c r="D49" s="35">
        <v>74</v>
      </c>
      <c r="E49" s="35">
        <v>64</v>
      </c>
      <c r="F49" s="108">
        <v>38</v>
      </c>
      <c r="G49" s="108">
        <v>145</v>
      </c>
      <c r="H49" s="35">
        <v>102</v>
      </c>
      <c r="I49" s="35">
        <v>72</v>
      </c>
    </row>
    <row r="50" spans="1:9" ht="21.75" customHeight="1">
      <c r="A50" s="21" t="s">
        <v>856</v>
      </c>
      <c r="B50" s="116">
        <v>5.7</v>
      </c>
      <c r="C50" s="116">
        <v>26.7</v>
      </c>
      <c r="D50" s="116">
        <v>21.1</v>
      </c>
      <c r="E50" s="116">
        <v>17.600000000000001</v>
      </c>
      <c r="F50" s="116">
        <v>17.899999999999999</v>
      </c>
      <c r="G50" s="116">
        <v>17.3</v>
      </c>
      <c r="H50" s="116">
        <v>17.5</v>
      </c>
      <c r="I50" s="117">
        <v>2.82</v>
      </c>
    </row>
    <row r="51" spans="1:9" ht="21.75" customHeight="1">
      <c r="A51" s="43" t="s">
        <v>890</v>
      </c>
      <c r="B51" s="221">
        <v>10.8</v>
      </c>
      <c r="C51" s="221">
        <v>177.1</v>
      </c>
      <c r="D51" s="221">
        <v>172.01</v>
      </c>
      <c r="E51" s="221">
        <v>107.58</v>
      </c>
      <c r="F51" s="221">
        <v>87.54</v>
      </c>
      <c r="G51" s="221">
        <v>110.33</v>
      </c>
      <c r="H51" s="221">
        <v>87.34</v>
      </c>
      <c r="I51" s="221">
        <v>15.99</v>
      </c>
    </row>
    <row r="52" spans="1:9" ht="21.75" customHeight="1">
      <c r="A52" s="144" t="s">
        <v>858</v>
      </c>
      <c r="F52" s="23"/>
      <c r="G52" s="23"/>
      <c r="H52" s="23"/>
      <c r="I52" s="23"/>
    </row>
    <row r="53" spans="1:9" ht="21.75" customHeight="1">
      <c r="A53" s="21" t="s">
        <v>874</v>
      </c>
      <c r="B53" s="625">
        <v>0.02</v>
      </c>
      <c r="C53" s="625">
        <v>0.05</v>
      </c>
      <c r="D53" s="625">
        <v>0.01</v>
      </c>
      <c r="E53" s="625">
        <v>0.01</v>
      </c>
      <c r="F53" s="625">
        <v>0.05</v>
      </c>
      <c r="G53" s="625">
        <v>0.15</v>
      </c>
      <c r="H53" s="625">
        <v>0.35</v>
      </c>
      <c r="I53" s="625">
        <v>0.3</v>
      </c>
    </row>
    <row r="54" spans="1:9" ht="21.75" customHeight="1">
      <c r="A54" s="155" t="s">
        <v>891</v>
      </c>
      <c r="B54" s="226">
        <v>0</v>
      </c>
      <c r="C54" s="226">
        <v>0</v>
      </c>
      <c r="D54" s="226">
        <v>0</v>
      </c>
      <c r="E54" s="226">
        <v>0</v>
      </c>
      <c r="F54" s="226">
        <v>0</v>
      </c>
      <c r="G54" s="227">
        <v>0</v>
      </c>
      <c r="H54" s="227">
        <v>0</v>
      </c>
      <c r="I54" s="227">
        <v>0</v>
      </c>
    </row>
    <row r="55" spans="1:9" ht="19.25" customHeight="1">
      <c r="A55" s="185" t="s">
        <v>776</v>
      </c>
      <c r="B55" s="185"/>
      <c r="C55" s="185"/>
      <c r="D55" s="19"/>
      <c r="E55" s="19"/>
      <c r="F55" s="131"/>
      <c r="G55" s="132"/>
      <c r="H55" s="132"/>
      <c r="I55" s="132"/>
    </row>
    <row r="56" spans="1:9" ht="19.25" customHeight="1">
      <c r="A56" s="51" t="s">
        <v>877</v>
      </c>
      <c r="G56" s="23"/>
      <c r="H56" s="23"/>
      <c r="I56" s="23"/>
    </row>
    <row r="57" spans="1:9" ht="19.25" customHeight="1">
      <c r="A57" s="739" t="s">
        <v>892</v>
      </c>
      <c r="B57" s="739"/>
      <c r="C57" s="739"/>
      <c r="D57" s="739"/>
      <c r="E57" s="739"/>
      <c r="F57" s="739"/>
      <c r="G57" s="739"/>
      <c r="H57" s="739"/>
      <c r="I57" s="739"/>
    </row>
    <row r="58" spans="1:9" ht="21.75" customHeight="1">
      <c r="A58" s="31"/>
    </row>
    <row r="59" spans="1:9" ht="21.75" customHeight="1">
      <c r="A59" s="32" t="s">
        <v>640</v>
      </c>
      <c r="B59" s="33">
        <v>2023</v>
      </c>
      <c r="C59" s="33">
        <v>2022</v>
      </c>
      <c r="D59" s="33">
        <v>2021</v>
      </c>
      <c r="E59" s="33">
        <v>2020</v>
      </c>
      <c r="F59" s="33">
        <v>2019</v>
      </c>
      <c r="G59" s="33">
        <v>2018</v>
      </c>
      <c r="H59" s="33">
        <v>2017</v>
      </c>
      <c r="I59" s="33">
        <v>2016</v>
      </c>
    </row>
    <row r="60" spans="1:9" ht="21.75" customHeight="1">
      <c r="A60" s="21" t="s">
        <v>837</v>
      </c>
      <c r="B60" s="35">
        <v>653</v>
      </c>
      <c r="C60" s="20">
        <v>733</v>
      </c>
      <c r="D60" s="20">
        <v>673.94722391458595</v>
      </c>
      <c r="E60" s="20">
        <v>486.35671746523002</v>
      </c>
      <c r="F60" s="20">
        <v>612.71</v>
      </c>
      <c r="G60" s="20">
        <v>536.73</v>
      </c>
      <c r="H60" s="20">
        <v>448.96</v>
      </c>
      <c r="I60" s="20">
        <v>457.8</v>
      </c>
    </row>
    <row r="61" spans="1:9" ht="21.75" customHeight="1">
      <c r="A61" s="21" t="s">
        <v>838</v>
      </c>
      <c r="B61" s="35">
        <v>549</v>
      </c>
      <c r="C61" s="20">
        <v>550</v>
      </c>
      <c r="D61" s="20">
        <v>547.19256245949998</v>
      </c>
      <c r="E61" s="20">
        <v>528.82702138382797</v>
      </c>
      <c r="F61" s="20">
        <v>533.64</v>
      </c>
      <c r="G61" s="20">
        <v>541.59</v>
      </c>
      <c r="H61" s="20">
        <v>543.79999999999995</v>
      </c>
      <c r="I61" s="20">
        <v>552.16</v>
      </c>
    </row>
    <row r="62" spans="1:9" ht="21.75" customHeight="1">
      <c r="A62" s="21" t="s">
        <v>773</v>
      </c>
      <c r="B62" s="35">
        <v>4</v>
      </c>
      <c r="C62" s="20">
        <v>4</v>
      </c>
      <c r="D62" s="20">
        <v>4.47</v>
      </c>
      <c r="E62" s="20">
        <v>3.5549870330023099</v>
      </c>
      <c r="F62" s="20">
        <v>3.99</v>
      </c>
      <c r="G62" s="20">
        <v>4.0999999999999996</v>
      </c>
      <c r="H62" s="20">
        <v>4.28</v>
      </c>
      <c r="I62" s="20">
        <v>4.38</v>
      </c>
    </row>
    <row r="63" spans="1:9" ht="21.75" customHeight="1">
      <c r="A63" s="21" t="s">
        <v>839</v>
      </c>
      <c r="B63" s="20">
        <v>1206</v>
      </c>
      <c r="C63" s="24" t="s">
        <v>893</v>
      </c>
      <c r="D63" s="24" t="s">
        <v>894</v>
      </c>
      <c r="E63" s="24" t="s">
        <v>895</v>
      </c>
      <c r="F63" s="24" t="s">
        <v>896</v>
      </c>
      <c r="G63" s="24" t="s">
        <v>897</v>
      </c>
      <c r="H63" s="35" t="s">
        <v>898</v>
      </c>
      <c r="I63" s="24" t="s">
        <v>899</v>
      </c>
    </row>
    <row r="64" spans="1:9" ht="21.75" customHeight="1">
      <c r="A64" s="21" t="s">
        <v>846</v>
      </c>
      <c r="B64" s="24" t="s">
        <v>900</v>
      </c>
      <c r="C64" s="23" t="s">
        <v>851</v>
      </c>
      <c r="D64" s="23" t="s">
        <v>900</v>
      </c>
      <c r="E64" s="23" t="s">
        <v>847</v>
      </c>
      <c r="F64" s="23" t="s">
        <v>850</v>
      </c>
      <c r="G64" s="23" t="s">
        <v>901</v>
      </c>
      <c r="H64" s="24" t="s">
        <v>902</v>
      </c>
      <c r="I64" s="24" t="s">
        <v>903</v>
      </c>
    </row>
    <row r="65" spans="1:9" ht="21.75" customHeight="1">
      <c r="A65" s="21" t="s">
        <v>853</v>
      </c>
      <c r="B65" s="35">
        <v>42</v>
      </c>
      <c r="C65" s="35">
        <v>44</v>
      </c>
      <c r="D65" s="116">
        <f>Energy!D58</f>
        <v>30.161000000000001</v>
      </c>
      <c r="E65" s="116">
        <f>Energy!E58</f>
        <v>23.3</v>
      </c>
      <c r="F65" s="35">
        <v>28</v>
      </c>
      <c r="G65" s="35">
        <v>26</v>
      </c>
      <c r="H65" s="35">
        <v>22</v>
      </c>
      <c r="I65" s="116">
        <v>20.7</v>
      </c>
    </row>
    <row r="66" spans="1:9" ht="21.75" customHeight="1">
      <c r="A66" s="21" t="s">
        <v>854</v>
      </c>
      <c r="B66" s="35">
        <v>174</v>
      </c>
      <c r="C66" s="35">
        <v>168</v>
      </c>
      <c r="D66" s="116">
        <v>121.48</v>
      </c>
      <c r="E66" s="35">
        <v>113</v>
      </c>
      <c r="F66" s="35">
        <v>97</v>
      </c>
      <c r="G66" s="35">
        <v>82</v>
      </c>
      <c r="H66" s="35">
        <v>72</v>
      </c>
      <c r="I66" s="35">
        <v>76</v>
      </c>
    </row>
    <row r="67" spans="1:9" ht="21.75" customHeight="1">
      <c r="A67" s="21" t="s">
        <v>855</v>
      </c>
      <c r="B67" s="35">
        <v>25</v>
      </c>
      <c r="C67" s="35">
        <v>16</v>
      </c>
      <c r="D67" s="35">
        <v>16</v>
      </c>
      <c r="E67" s="35">
        <v>14</v>
      </c>
      <c r="F67" s="35">
        <v>16</v>
      </c>
      <c r="G67" s="35">
        <v>34</v>
      </c>
      <c r="H67" s="35">
        <v>27</v>
      </c>
      <c r="I67" s="35">
        <v>29</v>
      </c>
    </row>
    <row r="68" spans="1:9" ht="21.75" customHeight="1">
      <c r="A68" s="21" t="s">
        <v>856</v>
      </c>
      <c r="B68" s="116">
        <v>0.9</v>
      </c>
      <c r="C68" s="116">
        <v>0.6</v>
      </c>
      <c r="D68" s="116">
        <v>0.4</v>
      </c>
      <c r="E68" s="116">
        <v>0.3</v>
      </c>
      <c r="F68" s="116">
        <v>0.4</v>
      </c>
      <c r="G68" s="222">
        <v>0.8</v>
      </c>
      <c r="H68" s="116">
        <v>0.6</v>
      </c>
      <c r="I68" s="117">
        <v>0.55000000000000004</v>
      </c>
    </row>
    <row r="69" spans="1:9" ht="21.75" customHeight="1">
      <c r="A69" s="43" t="s">
        <v>904</v>
      </c>
      <c r="B69" s="222">
        <v>1.7</v>
      </c>
      <c r="C69" s="222">
        <v>1.0900000000000001</v>
      </c>
      <c r="D69" s="222">
        <v>1.21</v>
      </c>
      <c r="E69" s="222">
        <v>1.07</v>
      </c>
      <c r="F69" s="222">
        <v>1.23</v>
      </c>
      <c r="G69" s="229">
        <v>2.5569999999999999</v>
      </c>
      <c r="H69" s="229">
        <v>2.02</v>
      </c>
      <c r="I69" s="229">
        <v>1.64</v>
      </c>
    </row>
    <row r="70" spans="1:9" ht="21.75" customHeight="1">
      <c r="A70" s="144" t="s">
        <v>858</v>
      </c>
      <c r="F70" s="23"/>
      <c r="G70" s="23"/>
      <c r="H70" s="23"/>
      <c r="I70" s="23"/>
    </row>
    <row r="71" spans="1:9" ht="21.75" customHeight="1">
      <c r="A71" s="21" t="s">
        <v>874</v>
      </c>
      <c r="B71" s="223">
        <v>1</v>
      </c>
      <c r="C71" s="223">
        <v>1</v>
      </c>
      <c r="D71" s="223">
        <v>1</v>
      </c>
      <c r="E71" s="223">
        <v>1</v>
      </c>
      <c r="F71" s="223">
        <v>1</v>
      </c>
      <c r="G71" s="224">
        <v>1</v>
      </c>
      <c r="H71" s="224">
        <v>1</v>
      </c>
      <c r="I71" s="224">
        <v>1</v>
      </c>
    </row>
    <row r="72" spans="1:9" ht="21.75" customHeight="1">
      <c r="A72" s="155" t="s">
        <v>875</v>
      </c>
      <c r="B72" s="230">
        <v>1</v>
      </c>
      <c r="C72" s="230">
        <v>1</v>
      </c>
      <c r="D72" s="226">
        <v>0</v>
      </c>
      <c r="E72" s="226">
        <v>0</v>
      </c>
      <c r="F72" s="226">
        <v>0</v>
      </c>
      <c r="G72" s="227">
        <v>0</v>
      </c>
      <c r="H72" s="227">
        <v>0</v>
      </c>
      <c r="I72" s="227">
        <v>0</v>
      </c>
    </row>
    <row r="73" spans="1:9" ht="19.25" customHeight="1">
      <c r="A73" s="185" t="s">
        <v>776</v>
      </c>
      <c r="B73" s="185"/>
      <c r="C73" s="185"/>
      <c r="D73" s="232"/>
      <c r="E73" s="232"/>
      <c r="F73" s="232"/>
      <c r="G73" s="232"/>
      <c r="H73" s="232"/>
      <c r="I73" s="232"/>
    </row>
    <row r="74" spans="1:9" ht="19.25" customHeight="1">
      <c r="A74" s="51" t="s">
        <v>877</v>
      </c>
    </row>
    <row r="75" spans="1:9" ht="19.25" customHeight="1">
      <c r="A75" s="51" t="s">
        <v>905</v>
      </c>
    </row>
  </sheetData>
  <sheetProtection algorithmName="SHA-512" hashValue="G7E8rO/KhHJL3LVy6cPhBFBV5a3jlfqMIKlBTRFajxlBMS7Js+lMXiVZY0weBQ7BP8QKTPr0lFHZqiDSt5jWEg==" saltValue="zxscH2A3UiAvCaV0M514oQ==" spinCount="100000" sheet="1" objects="1" scenarios="1"/>
  <mergeCells count="2">
    <mergeCell ref="A38:B38"/>
    <mergeCell ref="A57:I57"/>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0"/>
  <sheetViews>
    <sheetView showGridLines="0" showRuler="0" workbookViewId="0">
      <selection activeCell="K18" sqref="K18"/>
    </sheetView>
  </sheetViews>
  <sheetFormatPr baseColWidth="10" defaultColWidth="12.83203125" defaultRowHeight="13"/>
  <cols>
    <col min="1" max="1" width="55.1640625" customWidth="1"/>
    <col min="2" max="2" width="17.6640625" customWidth="1"/>
    <col min="3" max="3" width="17.33203125" customWidth="1"/>
    <col min="4" max="9" width="14.33203125" customWidth="1"/>
  </cols>
  <sheetData>
    <row r="1" spans="1:9" ht="21.75" customHeight="1">
      <c r="A1" s="134" t="s">
        <v>906</v>
      </c>
      <c r="B1" s="177"/>
      <c r="C1" s="177"/>
      <c r="D1" s="177"/>
      <c r="E1" s="177"/>
      <c r="F1" s="177"/>
      <c r="G1" s="177"/>
      <c r="H1" s="177"/>
      <c r="I1" s="177"/>
    </row>
    <row r="2" spans="1:9" ht="21.75" customHeight="1"/>
    <row r="3" spans="1:9" ht="21.75" customHeight="1">
      <c r="A3" s="134" t="s">
        <v>907</v>
      </c>
      <c r="B3" s="135">
        <v>2023</v>
      </c>
      <c r="C3" s="135">
        <v>2022</v>
      </c>
      <c r="D3" s="135">
        <v>2021</v>
      </c>
      <c r="E3" s="135">
        <v>2020</v>
      </c>
      <c r="F3" s="135">
        <v>2019</v>
      </c>
      <c r="G3" s="135">
        <v>2018</v>
      </c>
      <c r="H3" s="135">
        <v>2017</v>
      </c>
      <c r="I3" s="135">
        <v>2016</v>
      </c>
    </row>
    <row r="4" spans="1:9" ht="21.75" customHeight="1">
      <c r="A4" s="21" t="s">
        <v>589</v>
      </c>
      <c r="B4" s="20">
        <v>196931.03</v>
      </c>
      <c r="C4" s="20">
        <v>189401.48</v>
      </c>
      <c r="D4" s="20">
        <v>189137.77</v>
      </c>
      <c r="E4" s="20">
        <v>173960.3</v>
      </c>
      <c r="F4" s="20">
        <v>211204.166</v>
      </c>
      <c r="G4" s="20">
        <v>247204.345</v>
      </c>
      <c r="H4" s="20">
        <v>282330.337</v>
      </c>
      <c r="I4" s="20">
        <v>287480.01500000001</v>
      </c>
    </row>
    <row r="5" spans="1:9" ht="21.75" customHeight="1">
      <c r="A5" s="21" t="s">
        <v>590</v>
      </c>
      <c r="B5" s="20">
        <v>432575.06</v>
      </c>
      <c r="C5" s="20">
        <v>476982.05800000502</v>
      </c>
      <c r="D5" s="20">
        <v>465141.9</v>
      </c>
      <c r="E5" s="20">
        <v>399300.14600000001</v>
      </c>
      <c r="F5" s="20">
        <v>436440.94</v>
      </c>
      <c r="G5" s="20">
        <v>449728.47700000001</v>
      </c>
      <c r="H5" s="20">
        <v>497814.321</v>
      </c>
      <c r="I5" s="20">
        <v>525748.96</v>
      </c>
    </row>
    <row r="6" spans="1:9" ht="21.75" customHeight="1">
      <c r="A6" s="21" t="s">
        <v>645</v>
      </c>
      <c r="B6" s="20">
        <v>471750.84</v>
      </c>
      <c r="C6" s="20">
        <v>492105.31</v>
      </c>
      <c r="D6" s="20">
        <v>473724.92899999802</v>
      </c>
      <c r="E6" s="20">
        <v>476426.5</v>
      </c>
      <c r="F6" s="20">
        <v>457457.87</v>
      </c>
      <c r="G6" s="20">
        <v>436563.95600000001</v>
      </c>
      <c r="H6" s="20">
        <v>434886.09700000001</v>
      </c>
      <c r="I6" s="20">
        <v>433814</v>
      </c>
    </row>
    <row r="7" spans="1:9" ht="21.75" customHeight="1">
      <c r="A7" s="21" t="s">
        <v>640</v>
      </c>
      <c r="B7" s="20">
        <v>152486.15</v>
      </c>
      <c r="C7" s="20">
        <v>152691.92199999999</v>
      </c>
      <c r="D7" s="20">
        <v>151999.15</v>
      </c>
      <c r="E7" s="20">
        <v>146897.57</v>
      </c>
      <c r="F7" s="20">
        <v>148235.24</v>
      </c>
      <c r="G7" s="20">
        <v>150443.421</v>
      </c>
      <c r="H7" s="20">
        <v>151055.69099999999</v>
      </c>
      <c r="I7" s="20">
        <v>153379.12</v>
      </c>
    </row>
    <row r="8" spans="1:9" ht="21.75" customHeight="1">
      <c r="A8" s="155" t="s">
        <v>672</v>
      </c>
      <c r="B8" s="233">
        <f t="shared" ref="B8:I8" si="0">SUM(B4:B7)</f>
        <v>1253743.0799999998</v>
      </c>
      <c r="C8" s="210">
        <f t="shared" si="0"/>
        <v>1311180.7700000051</v>
      </c>
      <c r="D8" s="210">
        <f t="shared" si="0"/>
        <v>1280003.748999998</v>
      </c>
      <c r="E8" s="210">
        <f t="shared" si="0"/>
        <v>1196584.5160000001</v>
      </c>
      <c r="F8" s="210">
        <f t="shared" si="0"/>
        <v>1253338.216</v>
      </c>
      <c r="G8" s="210">
        <f t="shared" si="0"/>
        <v>1283940.199</v>
      </c>
      <c r="H8" s="210">
        <f t="shared" si="0"/>
        <v>1366086.446</v>
      </c>
      <c r="I8" s="210">
        <f t="shared" si="0"/>
        <v>1400422.0950000002</v>
      </c>
    </row>
    <row r="9" spans="1:9" ht="21.75" customHeight="1">
      <c r="A9" s="19"/>
      <c r="B9" s="131"/>
      <c r="C9" s="131"/>
      <c r="D9" s="131"/>
      <c r="E9" s="131"/>
      <c r="F9" s="131"/>
      <c r="G9" s="131"/>
      <c r="H9" s="131"/>
      <c r="I9" s="131"/>
    </row>
    <row r="10" spans="1:9" ht="21.75" customHeight="1">
      <c r="A10" s="134" t="s">
        <v>908</v>
      </c>
      <c r="B10" s="135">
        <v>2023</v>
      </c>
      <c r="C10" s="135">
        <v>2022</v>
      </c>
      <c r="D10" s="135">
        <v>2021</v>
      </c>
      <c r="E10" s="135">
        <v>2020</v>
      </c>
      <c r="F10" s="135">
        <v>2019</v>
      </c>
      <c r="G10" s="135">
        <v>2018</v>
      </c>
      <c r="H10" s="135">
        <v>2017</v>
      </c>
      <c r="I10" s="135">
        <v>2016</v>
      </c>
    </row>
    <row r="11" spans="1:9" ht="21.75" customHeight="1">
      <c r="A11" s="21" t="s">
        <v>589</v>
      </c>
      <c r="B11" s="20">
        <v>67936.850000000006</v>
      </c>
      <c r="C11" s="20">
        <v>66113.72</v>
      </c>
      <c r="D11" s="20">
        <v>63605.626519999998</v>
      </c>
      <c r="E11" s="20">
        <v>54128.436759999997</v>
      </c>
      <c r="F11" s="20">
        <v>55987.239000000001</v>
      </c>
      <c r="G11" s="20">
        <v>52189.608999999997</v>
      </c>
      <c r="H11" s="20">
        <v>59206.012999999999</v>
      </c>
      <c r="I11" s="20">
        <v>71056.558999999994</v>
      </c>
    </row>
    <row r="12" spans="1:9" ht="21.75" customHeight="1">
      <c r="A12" s="21" t="s">
        <v>590</v>
      </c>
      <c r="B12" s="20">
        <v>3473.85</v>
      </c>
      <c r="C12" s="20">
        <v>3600.0160000000001</v>
      </c>
      <c r="D12" s="20">
        <v>3034.335</v>
      </c>
      <c r="E12" s="20">
        <v>2243.6129999999998</v>
      </c>
      <c r="F12" s="20">
        <v>2106.107</v>
      </c>
      <c r="G12" s="20">
        <v>1961.434</v>
      </c>
      <c r="H12" s="20">
        <v>3019.25</v>
      </c>
      <c r="I12" s="20">
        <v>3059.5839999999998</v>
      </c>
    </row>
    <row r="13" spans="1:9" ht="21.75" customHeight="1">
      <c r="A13" s="21" t="s">
        <v>645</v>
      </c>
      <c r="B13" s="20">
        <v>93950.15</v>
      </c>
      <c r="C13" s="20">
        <v>99991.955000000002</v>
      </c>
      <c r="D13" s="20">
        <v>107441.433000006</v>
      </c>
      <c r="E13" s="20">
        <v>114813.7</v>
      </c>
      <c r="F13" s="20">
        <v>114600.93399999999</v>
      </c>
      <c r="G13" s="20">
        <v>114442.447</v>
      </c>
      <c r="H13" s="20">
        <v>113429.59299999999</v>
      </c>
      <c r="I13" s="20">
        <v>96669</v>
      </c>
    </row>
    <row r="14" spans="1:9" ht="21.75" customHeight="1">
      <c r="A14" s="21" t="s">
        <v>640</v>
      </c>
      <c r="B14" s="20">
        <v>18105.38</v>
      </c>
      <c r="C14" s="20">
        <v>20284.740000000002</v>
      </c>
      <c r="D14" s="20">
        <v>18649.13</v>
      </c>
      <c r="E14" s="20">
        <v>13515.61</v>
      </c>
      <c r="F14" s="20">
        <v>17026.849999999999</v>
      </c>
      <c r="G14" s="20">
        <v>14926.58</v>
      </c>
      <c r="H14" s="20">
        <v>12485.54</v>
      </c>
      <c r="I14" s="20">
        <v>12713.02</v>
      </c>
    </row>
    <row r="15" spans="1:9" ht="21.75" customHeight="1">
      <c r="A15" s="155" t="s">
        <v>672</v>
      </c>
      <c r="B15" s="234">
        <f t="shared" ref="B15:I15" si="1">SUM(B11:B14)</f>
        <v>183466.23</v>
      </c>
      <c r="C15" s="210">
        <f t="shared" si="1"/>
        <v>189990.43099999998</v>
      </c>
      <c r="D15" s="210">
        <f t="shared" si="1"/>
        <v>192730.524520006</v>
      </c>
      <c r="E15" s="210">
        <f t="shared" si="1"/>
        <v>184701.35975999996</v>
      </c>
      <c r="F15" s="210">
        <f t="shared" si="1"/>
        <v>189721.13</v>
      </c>
      <c r="G15" s="210">
        <f t="shared" si="1"/>
        <v>183520.06999999998</v>
      </c>
      <c r="H15" s="210">
        <f t="shared" si="1"/>
        <v>188140.39600000001</v>
      </c>
      <c r="I15" s="210">
        <f t="shared" si="1"/>
        <v>183498.16299999997</v>
      </c>
    </row>
    <row r="16" spans="1:9" ht="21.75" customHeight="1">
      <c r="A16" s="19"/>
      <c r="B16" s="131"/>
      <c r="C16" s="131"/>
      <c r="D16" s="131"/>
      <c r="E16" s="131"/>
      <c r="F16" s="131"/>
      <c r="G16" s="131"/>
      <c r="H16" s="131"/>
      <c r="I16" s="131"/>
    </row>
    <row r="17" spans="1:9" ht="21.75" customHeight="1">
      <c r="A17" s="134" t="s">
        <v>909</v>
      </c>
      <c r="B17" s="135">
        <v>2023</v>
      </c>
      <c r="C17" s="135">
        <v>2022</v>
      </c>
      <c r="D17" s="135">
        <v>2021</v>
      </c>
      <c r="E17" s="135">
        <v>2020</v>
      </c>
      <c r="F17" s="135">
        <v>2019</v>
      </c>
      <c r="G17" s="135">
        <v>2018</v>
      </c>
      <c r="H17" s="135">
        <v>2017</v>
      </c>
      <c r="I17" s="135">
        <v>2016</v>
      </c>
    </row>
    <row r="18" spans="1:9" ht="21.75" customHeight="1">
      <c r="A18" s="21" t="s">
        <v>589</v>
      </c>
      <c r="B18" s="789">
        <v>5627383</v>
      </c>
      <c r="C18" s="20">
        <v>5403516.4228642397</v>
      </c>
      <c r="D18" s="20">
        <v>5207413.9155584797</v>
      </c>
      <c r="E18" s="20">
        <v>4702830.0062926803</v>
      </c>
      <c r="F18" s="20">
        <v>3907976.27516839</v>
      </c>
      <c r="G18" s="20">
        <v>3142462.65755666</v>
      </c>
      <c r="H18" s="20">
        <v>3631526.2669066601</v>
      </c>
      <c r="I18" s="20">
        <v>3604448.28115698</v>
      </c>
    </row>
    <row r="19" spans="1:9" ht="21.75" customHeight="1">
      <c r="A19" s="21" t="s">
        <v>590</v>
      </c>
      <c r="B19" s="20">
        <v>1962740.06</v>
      </c>
      <c r="C19" s="20">
        <v>1879739.4341795</v>
      </c>
      <c r="D19" s="20">
        <v>1784371.71658813</v>
      </c>
      <c r="E19" s="20">
        <v>1518586.5879085099</v>
      </c>
      <c r="F19" s="20">
        <v>1647636.7785702399</v>
      </c>
      <c r="G19" s="20">
        <v>1690253.1766460701</v>
      </c>
      <c r="H19" s="20">
        <v>1902704.56205311</v>
      </c>
      <c r="I19" s="20">
        <v>2005574.7134920401</v>
      </c>
    </row>
    <row r="20" spans="1:9" ht="21.75" customHeight="1">
      <c r="A20" s="21" t="s">
        <v>645</v>
      </c>
      <c r="B20" s="20">
        <v>5228362.9800000004</v>
      </c>
      <c r="C20" s="20">
        <v>5533800.9614048405</v>
      </c>
      <c r="D20" s="20">
        <v>5687493.3795515802</v>
      </c>
      <c r="E20" s="20">
        <v>5888420.1644685902</v>
      </c>
      <c r="F20" s="20">
        <v>5791655.9966219598</v>
      </c>
      <c r="G20" s="20">
        <v>5712920.5951754004</v>
      </c>
      <c r="H20" s="20">
        <v>5646855.0267242603</v>
      </c>
      <c r="I20" s="20">
        <v>5073536.8958908096</v>
      </c>
    </row>
    <row r="21" spans="1:9" ht="21.75" customHeight="1">
      <c r="A21" s="21" t="s">
        <v>640</v>
      </c>
      <c r="B21" s="20">
        <v>1206205.1000000001</v>
      </c>
      <c r="C21" s="20">
        <v>1286936.1598034999</v>
      </c>
      <c r="D21" s="20">
        <v>1225606.5877114499</v>
      </c>
      <c r="E21" s="20">
        <v>1018738.72588206</v>
      </c>
      <c r="F21" s="20">
        <v>1150338.9527630501</v>
      </c>
      <c r="G21" s="20">
        <v>1082421.4037868599</v>
      </c>
      <c r="H21" s="20">
        <v>997029.86804636603</v>
      </c>
      <c r="I21" s="20">
        <v>1014335.50978373</v>
      </c>
    </row>
    <row r="22" spans="1:9" ht="21.75" customHeight="1">
      <c r="A22" s="155" t="s">
        <v>672</v>
      </c>
      <c r="B22" s="233">
        <f t="shared" ref="B22:I22" si="2">SUM(B18:B21)</f>
        <v>14024691.140000001</v>
      </c>
      <c r="C22" s="210">
        <f t="shared" si="2"/>
        <v>14103992.978252081</v>
      </c>
      <c r="D22" s="210">
        <f t="shared" si="2"/>
        <v>13904885.59940964</v>
      </c>
      <c r="E22" s="210">
        <f t="shared" si="2"/>
        <v>13128575.484551841</v>
      </c>
      <c r="F22" s="210">
        <f t="shared" si="2"/>
        <v>12497608.003123641</v>
      </c>
      <c r="G22" s="210">
        <f t="shared" si="2"/>
        <v>11628057.83316499</v>
      </c>
      <c r="H22" s="210">
        <f t="shared" si="2"/>
        <v>12178115.723730396</v>
      </c>
      <c r="I22" s="210">
        <f t="shared" si="2"/>
        <v>11697895.400323559</v>
      </c>
    </row>
    <row r="23" spans="1:9" ht="21.75" customHeight="1">
      <c r="A23" s="115"/>
      <c r="B23" s="237"/>
      <c r="C23" s="237"/>
      <c r="D23" s="131"/>
      <c r="E23" s="131"/>
      <c r="F23" s="131"/>
      <c r="G23" s="237"/>
      <c r="H23" s="237"/>
      <c r="I23" s="131"/>
    </row>
    <row r="24" spans="1:9" ht="21.75" customHeight="1">
      <c r="A24" s="134" t="s">
        <v>910</v>
      </c>
      <c r="B24" s="135">
        <v>2023</v>
      </c>
      <c r="C24" s="135">
        <v>2022</v>
      </c>
      <c r="D24" s="135">
        <v>2021</v>
      </c>
      <c r="E24" s="135">
        <v>2020</v>
      </c>
      <c r="F24" s="135">
        <v>2019</v>
      </c>
      <c r="G24" s="135">
        <v>2018</v>
      </c>
      <c r="H24" s="135">
        <v>2017</v>
      </c>
      <c r="I24" s="135">
        <v>2016</v>
      </c>
    </row>
    <row r="25" spans="1:9" ht="21.75" customHeight="1">
      <c r="A25" s="21" t="s">
        <v>589</v>
      </c>
      <c r="B25" s="116">
        <v>4.6500000000000004</v>
      </c>
      <c r="C25" s="116">
        <v>4.43</v>
      </c>
      <c r="D25" s="165">
        <v>4.9359999999999999</v>
      </c>
      <c r="E25" s="165">
        <v>4.1039482355880299</v>
      </c>
      <c r="F25" s="165">
        <v>4.05</v>
      </c>
      <c r="G25" s="165">
        <v>3.56</v>
      </c>
      <c r="H25" s="165">
        <v>3.8859204710238902</v>
      </c>
      <c r="I25" s="165">
        <v>3.82</v>
      </c>
    </row>
    <row r="26" spans="1:9" ht="21.75" customHeight="1">
      <c r="A26" s="21" t="s">
        <v>590</v>
      </c>
      <c r="B26" s="116">
        <v>6.09</v>
      </c>
      <c r="C26" s="116">
        <v>5.73</v>
      </c>
      <c r="D26" s="165">
        <v>6.0979999999999999</v>
      </c>
      <c r="E26" s="165">
        <v>6.6940948653391104</v>
      </c>
      <c r="F26" s="165">
        <v>7.42</v>
      </c>
      <c r="G26" s="165">
        <v>10.76</v>
      </c>
      <c r="H26" s="165">
        <v>6.7651738448286496</v>
      </c>
      <c r="I26" s="165">
        <v>6.91</v>
      </c>
    </row>
    <row r="27" spans="1:9" ht="21.75" customHeight="1">
      <c r="A27" s="21" t="s">
        <v>645</v>
      </c>
      <c r="B27" s="116">
        <v>7.43</v>
      </c>
      <c r="C27" s="116">
        <v>7.27</v>
      </c>
      <c r="D27" s="165">
        <v>7.3280000000000003</v>
      </c>
      <c r="E27" s="165">
        <v>7.8595238184755098</v>
      </c>
      <c r="F27" s="165">
        <v>7.96</v>
      </c>
      <c r="G27" s="165">
        <v>8.1</v>
      </c>
      <c r="H27" s="165">
        <v>7.95380413755802</v>
      </c>
      <c r="I27" s="165">
        <v>7.09</v>
      </c>
    </row>
    <row r="28" spans="1:9" ht="21.75" customHeight="1">
      <c r="A28" s="21" t="s">
        <v>640</v>
      </c>
      <c r="B28" s="116">
        <v>5.04</v>
      </c>
      <c r="C28" s="116">
        <v>4.9400000000000004</v>
      </c>
      <c r="D28" s="165">
        <v>4.9359999999999999</v>
      </c>
      <c r="E28" s="165">
        <v>4.9199994450037297</v>
      </c>
      <c r="F28" s="165">
        <v>3.93</v>
      </c>
      <c r="G28" s="165">
        <v>3.45</v>
      </c>
      <c r="H28" s="165">
        <v>3.2508180699325702</v>
      </c>
      <c r="I28" s="165">
        <v>3.75</v>
      </c>
    </row>
    <row r="29" spans="1:9" ht="21.75" customHeight="1">
      <c r="A29" s="155" t="s">
        <v>672</v>
      </c>
      <c r="B29" s="235">
        <v>5.66</v>
      </c>
      <c r="C29" s="236">
        <v>5.49</v>
      </c>
      <c r="D29" s="170">
        <v>5.6550000000000002</v>
      </c>
      <c r="E29" s="170">
        <v>5.6368755646226898</v>
      </c>
      <c r="F29" s="170">
        <v>5.67</v>
      </c>
      <c r="G29" s="170">
        <v>5.64</v>
      </c>
      <c r="H29" s="170">
        <v>5.45506400278681</v>
      </c>
      <c r="I29" s="170">
        <v>5.27</v>
      </c>
    </row>
    <row r="30" spans="1:9" ht="21.75" customHeight="1">
      <c r="A30" s="238"/>
      <c r="B30" s="239"/>
      <c r="C30" s="239"/>
      <c r="D30" s="239"/>
      <c r="E30" s="239"/>
      <c r="F30" s="239"/>
      <c r="G30" s="239"/>
      <c r="H30" s="239"/>
      <c r="I30" s="239"/>
    </row>
    <row r="31" spans="1:9" ht="21.75" customHeight="1">
      <c r="A31" s="134" t="s">
        <v>911</v>
      </c>
      <c r="B31" s="135">
        <v>2023</v>
      </c>
      <c r="C31" s="135">
        <v>2022</v>
      </c>
      <c r="D31" s="177" t="s">
        <v>813</v>
      </c>
      <c r="E31" s="135">
        <v>2020</v>
      </c>
      <c r="F31" s="135">
        <v>2019</v>
      </c>
      <c r="G31" s="135">
        <v>2018</v>
      </c>
      <c r="H31" s="135">
        <v>2017</v>
      </c>
      <c r="I31" s="135">
        <v>2016</v>
      </c>
    </row>
    <row r="32" spans="1:9" ht="21.75" customHeight="1">
      <c r="A32" s="21" t="s">
        <v>589</v>
      </c>
      <c r="B32" s="35">
        <v>153</v>
      </c>
      <c r="C32" s="35">
        <v>146</v>
      </c>
      <c r="D32" s="20">
        <v>124</v>
      </c>
      <c r="E32" s="20">
        <v>83.816999999999993</v>
      </c>
      <c r="F32" s="20">
        <v>81.010000000000005</v>
      </c>
      <c r="G32" s="20">
        <v>78.180000000000007</v>
      </c>
      <c r="H32" s="20">
        <v>80.78</v>
      </c>
      <c r="I32" s="20">
        <v>83.9</v>
      </c>
    </row>
    <row r="33" spans="1:9" ht="21.75" customHeight="1">
      <c r="A33" s="21" t="s">
        <v>590</v>
      </c>
      <c r="B33" s="35">
        <v>42</v>
      </c>
      <c r="C33" s="35">
        <v>45</v>
      </c>
      <c r="D33" s="20">
        <v>42.74</v>
      </c>
      <c r="E33" s="20">
        <v>28.59</v>
      </c>
      <c r="F33" s="20">
        <v>32.450000000000003</v>
      </c>
      <c r="G33" s="20">
        <v>33.15</v>
      </c>
      <c r="H33" s="20">
        <v>34.4</v>
      </c>
      <c r="I33" s="20">
        <v>31.55</v>
      </c>
    </row>
    <row r="34" spans="1:9" ht="21.75" customHeight="1">
      <c r="A34" s="21" t="s">
        <v>645</v>
      </c>
      <c r="B34" s="35">
        <v>169</v>
      </c>
      <c r="C34" s="35">
        <v>188</v>
      </c>
      <c r="D34" s="20">
        <v>143.69999999999999</v>
      </c>
      <c r="E34" s="20">
        <v>121.34</v>
      </c>
      <c r="F34" s="20">
        <v>157.83000000000001</v>
      </c>
      <c r="G34" s="20">
        <v>164.43</v>
      </c>
      <c r="H34" s="20">
        <v>120.29</v>
      </c>
      <c r="I34" s="20">
        <v>153.19</v>
      </c>
    </row>
    <row r="35" spans="1:9" ht="21.75" customHeight="1">
      <c r="A35" s="21" t="s">
        <v>640</v>
      </c>
      <c r="B35" s="35">
        <v>42</v>
      </c>
      <c r="C35" s="35">
        <v>44</v>
      </c>
      <c r="D35" s="20">
        <v>30.16</v>
      </c>
      <c r="E35" s="20">
        <v>23.29</v>
      </c>
      <c r="F35" s="20">
        <v>28.5</v>
      </c>
      <c r="G35" s="20">
        <v>25.79</v>
      </c>
      <c r="H35" s="20">
        <v>22.07</v>
      </c>
      <c r="I35" s="20">
        <v>20.68</v>
      </c>
    </row>
    <row r="36" spans="1:9" ht="21.75" customHeight="1">
      <c r="A36" s="155" t="s">
        <v>672</v>
      </c>
      <c r="B36" s="194">
        <v>405</v>
      </c>
      <c r="C36" s="195">
        <v>424</v>
      </c>
      <c r="D36" s="210">
        <f t="shared" ref="D36:I36" si="3">SUM(D32:D35)</f>
        <v>340.6</v>
      </c>
      <c r="E36" s="210">
        <f t="shared" si="3"/>
        <v>257.03700000000003</v>
      </c>
      <c r="F36" s="210">
        <f t="shared" si="3"/>
        <v>299.79000000000002</v>
      </c>
      <c r="G36" s="210">
        <f t="shared" si="3"/>
        <v>301.55</v>
      </c>
      <c r="H36" s="210">
        <f t="shared" si="3"/>
        <v>257.54000000000002</v>
      </c>
      <c r="I36" s="210">
        <f t="shared" si="3"/>
        <v>289.32</v>
      </c>
    </row>
    <row r="37" spans="1:9" ht="21.75" customHeight="1">
      <c r="A37" s="30" t="s">
        <v>797</v>
      </c>
      <c r="B37" s="48"/>
      <c r="C37" s="48"/>
      <c r="D37" s="131"/>
      <c r="E37" s="131"/>
      <c r="F37" s="131"/>
      <c r="G37" s="131"/>
      <c r="H37" s="131"/>
      <c r="I37" s="131"/>
    </row>
    <row r="38" spans="1:9" ht="21.75" customHeight="1"/>
    <row r="39" spans="1:9" ht="21.75" customHeight="1">
      <c r="A39" s="134" t="s">
        <v>912</v>
      </c>
      <c r="B39" s="135">
        <v>2023</v>
      </c>
      <c r="C39" s="135">
        <v>2022</v>
      </c>
      <c r="D39" s="135">
        <v>2021</v>
      </c>
      <c r="E39" s="135">
        <v>2020</v>
      </c>
      <c r="F39" s="135">
        <v>2019</v>
      </c>
      <c r="G39" s="135">
        <v>2018</v>
      </c>
      <c r="H39" s="135">
        <v>2017</v>
      </c>
      <c r="I39" s="135">
        <v>2016</v>
      </c>
    </row>
    <row r="40" spans="1:9" ht="21.75" customHeight="1">
      <c r="A40" s="21" t="s">
        <v>589</v>
      </c>
      <c r="B40" s="625">
        <v>0.16</v>
      </c>
      <c r="C40" s="625">
        <v>0.17</v>
      </c>
      <c r="D40" s="625">
        <v>0.15</v>
      </c>
      <c r="E40" s="625">
        <v>0.12</v>
      </c>
      <c r="F40" s="625">
        <v>0.13</v>
      </c>
      <c r="G40" s="625">
        <v>0.15</v>
      </c>
      <c r="H40" s="625">
        <v>0.15</v>
      </c>
      <c r="I40" s="625">
        <v>0.14408775582785999</v>
      </c>
    </row>
    <row r="41" spans="1:9" ht="21.75" customHeight="1">
      <c r="A41" s="21" t="s">
        <v>590</v>
      </c>
      <c r="B41" s="625">
        <v>0.13</v>
      </c>
      <c r="C41" s="625">
        <v>0.14000000000000001</v>
      </c>
      <c r="D41" s="625">
        <v>0.14000000000000001</v>
      </c>
      <c r="E41" s="625">
        <v>0.12</v>
      </c>
      <c r="F41" s="625">
        <v>0.13</v>
      </c>
      <c r="G41" s="625">
        <v>0.13</v>
      </c>
      <c r="H41" s="625">
        <v>0.11</v>
      </c>
      <c r="I41" s="625">
        <v>0.12</v>
      </c>
    </row>
    <row r="42" spans="1:9" ht="21.75" customHeight="1">
      <c r="A42" s="21" t="s">
        <v>645</v>
      </c>
      <c r="B42" s="625">
        <v>0.27</v>
      </c>
      <c r="C42" s="625">
        <v>0.31</v>
      </c>
      <c r="D42" s="625">
        <v>0.25</v>
      </c>
      <c r="E42" s="625">
        <v>0.23</v>
      </c>
      <c r="F42" s="625">
        <v>0.33</v>
      </c>
      <c r="G42" s="625">
        <v>0.37</v>
      </c>
      <c r="H42" s="625">
        <v>0.26</v>
      </c>
      <c r="I42" s="625">
        <v>0.32</v>
      </c>
    </row>
    <row r="43" spans="1:9" ht="21.75" customHeight="1">
      <c r="A43" s="21" t="s">
        <v>640</v>
      </c>
      <c r="B43" s="625">
        <v>0.18</v>
      </c>
      <c r="C43" s="625">
        <v>0.19</v>
      </c>
      <c r="D43" s="625">
        <v>0.16</v>
      </c>
      <c r="E43" s="625">
        <v>0.15</v>
      </c>
      <c r="F43" s="625">
        <v>0.17</v>
      </c>
      <c r="G43" s="625">
        <v>0.16</v>
      </c>
      <c r="H43" s="625">
        <v>0.15</v>
      </c>
      <c r="I43" s="625">
        <v>0.14390809198394</v>
      </c>
    </row>
    <row r="44" spans="1:9" ht="21.75" customHeight="1">
      <c r="A44" s="155" t="s">
        <v>672</v>
      </c>
      <c r="B44" s="629">
        <v>0.18</v>
      </c>
      <c r="C44" s="627">
        <v>0.21</v>
      </c>
      <c r="D44" s="627">
        <v>0.18</v>
      </c>
      <c r="E44" s="627">
        <v>0.16</v>
      </c>
      <c r="F44" s="627">
        <v>0.2</v>
      </c>
      <c r="G44" s="627">
        <v>0.21</v>
      </c>
      <c r="H44" s="627">
        <v>0.16</v>
      </c>
      <c r="I44" s="627">
        <v>0.18</v>
      </c>
    </row>
    <row r="45" spans="1:9" ht="15" customHeight="1">
      <c r="A45" s="44"/>
      <c r="B45" s="240"/>
      <c r="C45" s="240"/>
      <c r="D45" s="240"/>
      <c r="E45" s="240"/>
      <c r="F45" s="240"/>
      <c r="G45" s="240"/>
      <c r="H45" s="240"/>
      <c r="I45" s="240"/>
    </row>
    <row r="46" spans="1:9" ht="15" customHeight="1"/>
    <row r="47" spans="1:9" ht="15" customHeight="1"/>
    <row r="48" spans="1:9" ht="15" customHeight="1"/>
    <row r="49" ht="15" customHeight="1"/>
    <row r="50" ht="15" customHeight="1"/>
  </sheetData>
  <sheetProtection algorithmName="SHA-512" hashValue="JkTPzhpvrHcPiWQ84epI8NnVt+1NTZI4AHhCmlPEbGBCfIPNRfptqAL1Ggh1mlnWY5uoVDobG2h6SiCEdgNBxw==" saltValue="Z6gCSGncm7ZUUgkIODeENA==" spinCount="100000" sheet="1" objects="1" scenarios="1"/>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142"/>
  <sheetViews>
    <sheetView showGridLines="0" showRuler="0" topLeftCell="A2" workbookViewId="0">
      <selection activeCell="I19" sqref="I19"/>
    </sheetView>
  </sheetViews>
  <sheetFormatPr baseColWidth="10" defaultColWidth="12.83203125" defaultRowHeight="13"/>
  <cols>
    <col min="1" max="1" width="55.1640625" customWidth="1"/>
    <col min="2" max="2" width="17.33203125" customWidth="1"/>
    <col min="3" max="3" width="12.1640625" customWidth="1"/>
    <col min="4" max="5" width="14.33203125" customWidth="1"/>
    <col min="6" max="7" width="12" customWidth="1"/>
    <col min="8" max="9" width="14.33203125" customWidth="1"/>
    <col min="10" max="10" width="16" customWidth="1"/>
    <col min="11" max="11" width="14.33203125" customWidth="1"/>
    <col min="12" max="12" width="9.6640625" customWidth="1"/>
    <col min="13" max="15" width="9.1640625" customWidth="1"/>
    <col min="16" max="16" width="14.33203125" customWidth="1"/>
    <col min="17" max="17" width="66.1640625" customWidth="1"/>
  </cols>
  <sheetData>
    <row r="1" spans="1:7" ht="21.75" customHeight="1">
      <c r="A1" s="134" t="s">
        <v>913</v>
      </c>
      <c r="B1" s="134"/>
      <c r="C1" s="134"/>
      <c r="D1" s="134"/>
      <c r="E1" s="134"/>
      <c r="F1" s="134"/>
      <c r="G1" s="134"/>
    </row>
    <row r="2" spans="1:7" ht="21.75" customHeight="1"/>
    <row r="3" spans="1:7" ht="21.75" customHeight="1">
      <c r="A3" s="134" t="s">
        <v>914</v>
      </c>
      <c r="B3" s="177"/>
      <c r="C3" s="177"/>
      <c r="D3" s="177"/>
      <c r="E3" s="177"/>
      <c r="F3" s="177"/>
      <c r="G3" s="177"/>
    </row>
    <row r="4" spans="1:7" ht="21.75" customHeight="1">
      <c r="A4" s="134" t="s">
        <v>915</v>
      </c>
      <c r="B4" s="135">
        <v>2023</v>
      </c>
      <c r="C4" s="135">
        <v>2022</v>
      </c>
      <c r="D4" s="135">
        <v>2021</v>
      </c>
      <c r="E4" s="135">
        <v>2020</v>
      </c>
      <c r="F4" s="135">
        <v>2019</v>
      </c>
      <c r="G4" s="135">
        <v>2018</v>
      </c>
    </row>
    <row r="5" spans="1:7" ht="21.75" customHeight="1">
      <c r="A5" s="144" t="s">
        <v>589</v>
      </c>
      <c r="B5" s="241">
        <v>10.6</v>
      </c>
      <c r="C5" s="117">
        <f>SUM(C6:C9)</f>
        <v>10.588000000000001</v>
      </c>
      <c r="D5" s="117">
        <f>SUM(D6:D9)</f>
        <v>9.8059999999999992</v>
      </c>
      <c r="E5" s="117">
        <f>SUM(E6:E9)</f>
        <v>12.311</v>
      </c>
      <c r="F5" s="117">
        <f>SUM(F6:F9)</f>
        <v>8.9260159999999988</v>
      </c>
      <c r="G5" s="117">
        <f>SUM(G6:G9)</f>
        <v>7.1935450000000003</v>
      </c>
    </row>
    <row r="6" spans="1:7" ht="21.75" customHeight="1">
      <c r="A6" s="21" t="s">
        <v>689</v>
      </c>
      <c r="B6" s="116">
        <v>5.0999999999999996</v>
      </c>
      <c r="C6" s="117">
        <v>4.96</v>
      </c>
      <c r="D6" s="117">
        <v>4.5919999999999996</v>
      </c>
      <c r="E6" s="117">
        <v>5.5990000000000002</v>
      </c>
      <c r="F6" s="117">
        <v>2.8269479999999998</v>
      </c>
      <c r="G6" s="117">
        <v>0</v>
      </c>
    </row>
    <row r="7" spans="1:7" ht="21.75" customHeight="1">
      <c r="A7" s="21" t="s">
        <v>676</v>
      </c>
      <c r="B7" s="116">
        <v>2.1</v>
      </c>
      <c r="C7" s="117">
        <v>2.2389999999999999</v>
      </c>
      <c r="D7" s="117">
        <v>2.2080000000000002</v>
      </c>
      <c r="E7" s="117">
        <v>2.2930000000000001</v>
      </c>
      <c r="F7" s="117">
        <v>2.331928</v>
      </c>
      <c r="G7" s="117">
        <v>2.232977</v>
      </c>
    </row>
    <row r="8" spans="1:7" ht="21.75" customHeight="1">
      <c r="A8" s="21" t="s">
        <v>690</v>
      </c>
      <c r="B8" s="116">
        <v>1.7</v>
      </c>
      <c r="C8" s="117">
        <v>1.319</v>
      </c>
      <c r="D8" s="117">
        <v>1.49</v>
      </c>
      <c r="E8" s="117">
        <v>2.4319999999999999</v>
      </c>
      <c r="F8" s="117">
        <v>2.5202399999999998</v>
      </c>
      <c r="G8" s="117">
        <v>2.4625379999999999</v>
      </c>
    </row>
    <row r="9" spans="1:7" ht="21.75" customHeight="1">
      <c r="A9" s="21" t="s">
        <v>678</v>
      </c>
      <c r="B9" s="116">
        <v>1.5</v>
      </c>
      <c r="C9" s="117">
        <v>2.0699999999999998</v>
      </c>
      <c r="D9" s="117">
        <v>1.516</v>
      </c>
      <c r="E9" s="117">
        <v>1.9870000000000001</v>
      </c>
      <c r="F9" s="117">
        <v>1.2468999999999999</v>
      </c>
      <c r="G9" s="117">
        <v>2.49803</v>
      </c>
    </row>
    <row r="10" spans="1:7" ht="21.75" customHeight="1">
      <c r="A10" s="144" t="s">
        <v>604</v>
      </c>
      <c r="B10" s="241">
        <v>2</v>
      </c>
      <c r="C10" s="117">
        <v>1.77</v>
      </c>
      <c r="D10" s="117">
        <v>1.6060000000000001</v>
      </c>
      <c r="E10" s="117">
        <v>1.613</v>
      </c>
      <c r="F10" s="117">
        <v>3.220005</v>
      </c>
      <c r="G10" s="117">
        <v>2.8923839999999998</v>
      </c>
    </row>
    <row r="11" spans="1:7" ht="21.75" customHeight="1">
      <c r="A11" s="144" t="s">
        <v>645</v>
      </c>
      <c r="B11" s="242">
        <v>2.8</v>
      </c>
      <c r="C11" s="117">
        <v>2.8919999999999999</v>
      </c>
      <c r="D11" s="117">
        <f>SUM(D12:D13)</f>
        <v>3.375</v>
      </c>
      <c r="E11" s="117">
        <f>SUM(E12:E13)</f>
        <v>4.8369999999999997</v>
      </c>
      <c r="F11" s="117">
        <f>SUM(F12:F13)</f>
        <v>5.9089670000000005</v>
      </c>
      <c r="G11" s="117">
        <f>SUM(G12:G13)</f>
        <v>7.3360430000000001</v>
      </c>
    </row>
    <row r="12" spans="1:7" ht="21.75" customHeight="1">
      <c r="A12" s="21" t="s">
        <v>691</v>
      </c>
      <c r="B12" s="116">
        <v>1.5</v>
      </c>
      <c r="C12" s="117">
        <v>1.89</v>
      </c>
      <c r="D12" s="117">
        <v>1.7190000000000001</v>
      </c>
      <c r="E12" s="117">
        <v>1.8029999999999999</v>
      </c>
      <c r="F12" s="117">
        <v>1.5765499999999999</v>
      </c>
      <c r="G12" s="117">
        <v>1.5596650000000001</v>
      </c>
    </row>
    <row r="13" spans="1:7" ht="21.75" customHeight="1">
      <c r="A13" s="21" t="s">
        <v>680</v>
      </c>
      <c r="B13" s="116">
        <v>1.3</v>
      </c>
      <c r="C13" s="117">
        <v>1</v>
      </c>
      <c r="D13" s="117">
        <v>1.6559999999999999</v>
      </c>
      <c r="E13" s="117">
        <v>3.0339999999999998</v>
      </c>
      <c r="F13" s="117">
        <v>4.3324170000000004</v>
      </c>
      <c r="G13" s="117">
        <v>5.7763780000000002</v>
      </c>
    </row>
    <row r="14" spans="1:7" ht="21.75" customHeight="1">
      <c r="A14" s="243" t="s">
        <v>746</v>
      </c>
      <c r="B14" s="244">
        <v>2.9</v>
      </c>
      <c r="C14" s="245">
        <v>3.05</v>
      </c>
      <c r="D14" s="245">
        <v>3.7450000000000001</v>
      </c>
      <c r="E14" s="245">
        <v>2.8860000000000001</v>
      </c>
      <c r="F14" s="245">
        <v>4.2793799999999997</v>
      </c>
      <c r="G14" s="245">
        <v>3.7565400000000002</v>
      </c>
    </row>
    <row r="15" spans="1:7" ht="21.75" customHeight="1">
      <c r="A15" s="45" t="s">
        <v>702</v>
      </c>
      <c r="B15" s="246">
        <f t="shared" ref="B15:G15" si="0">SUM(B5,B10,B11,B14)</f>
        <v>18.299999999999997</v>
      </c>
      <c r="C15" s="247">
        <f t="shared" si="0"/>
        <v>18.3</v>
      </c>
      <c r="D15" s="247">
        <f t="shared" si="0"/>
        <v>18.532</v>
      </c>
      <c r="E15" s="248">
        <f t="shared" si="0"/>
        <v>21.646999999999998</v>
      </c>
      <c r="F15" s="247">
        <f t="shared" si="0"/>
        <v>22.334368000000001</v>
      </c>
      <c r="G15" s="247">
        <f t="shared" si="0"/>
        <v>21.178512000000001</v>
      </c>
    </row>
    <row r="16" spans="1:7" ht="21.75" customHeight="1">
      <c r="A16" s="115"/>
      <c r="B16" s="115"/>
      <c r="C16" s="115"/>
      <c r="D16" s="115"/>
      <c r="E16" s="19"/>
      <c r="F16" s="19"/>
      <c r="G16" s="19"/>
    </row>
    <row r="17" spans="1:7" ht="21.75" customHeight="1">
      <c r="A17" s="134" t="s">
        <v>916</v>
      </c>
      <c r="B17" s="135">
        <v>2023</v>
      </c>
      <c r="C17" s="135">
        <v>2022</v>
      </c>
      <c r="D17" s="135">
        <v>2021</v>
      </c>
      <c r="E17" s="135">
        <v>2020</v>
      </c>
      <c r="F17" s="135">
        <v>2019</v>
      </c>
      <c r="G17" s="135">
        <v>2018</v>
      </c>
    </row>
    <row r="18" spans="1:7" ht="21.75" customHeight="1">
      <c r="A18" s="21" t="s">
        <v>917</v>
      </c>
      <c r="B18" s="116">
        <v>6.6</v>
      </c>
      <c r="C18" s="117">
        <v>6.968</v>
      </c>
      <c r="D18" s="117">
        <v>7.4210000000000003</v>
      </c>
      <c r="E18" s="117">
        <v>8.0169999999999995</v>
      </c>
      <c r="F18" s="117">
        <v>9.9545100000000009</v>
      </c>
      <c r="G18" s="117">
        <v>11.092000000000001</v>
      </c>
    </row>
    <row r="19" spans="1:7" ht="21.75" customHeight="1">
      <c r="A19" s="21" t="s">
        <v>918</v>
      </c>
      <c r="B19" s="116">
        <v>9.6</v>
      </c>
      <c r="C19" s="117">
        <v>9.4670000000000005</v>
      </c>
      <c r="D19" s="117">
        <v>9.423</v>
      </c>
      <c r="E19" s="117">
        <v>11.9</v>
      </c>
      <c r="F19" s="117">
        <v>10.158609999999999</v>
      </c>
      <c r="G19" s="117">
        <v>8.2919999999999998</v>
      </c>
    </row>
    <row r="20" spans="1:7" ht="21.75" customHeight="1">
      <c r="A20" s="25" t="s">
        <v>919</v>
      </c>
      <c r="B20" s="71">
        <v>2.1</v>
      </c>
      <c r="C20" s="245">
        <v>1.8779999999999999</v>
      </c>
      <c r="D20" s="245">
        <v>1.6910000000000001</v>
      </c>
      <c r="E20" s="245">
        <v>1.7</v>
      </c>
      <c r="F20" s="245">
        <v>2.2212499999999999</v>
      </c>
      <c r="G20" s="245">
        <v>1.794</v>
      </c>
    </row>
    <row r="21" spans="1:7" ht="21.75" customHeight="1">
      <c r="A21" s="45" t="s">
        <v>702</v>
      </c>
      <c r="B21" s="249">
        <f t="shared" ref="B21:G21" si="1">SUM(B18:B20)</f>
        <v>18.3</v>
      </c>
      <c r="C21" s="247">
        <f t="shared" si="1"/>
        <v>18.313000000000002</v>
      </c>
      <c r="D21" s="247">
        <f t="shared" si="1"/>
        <v>18.535</v>
      </c>
      <c r="E21" s="247">
        <f t="shared" si="1"/>
        <v>21.617000000000001</v>
      </c>
      <c r="F21" s="247">
        <f t="shared" si="1"/>
        <v>22.334370000000003</v>
      </c>
      <c r="G21" s="247">
        <f t="shared" si="1"/>
        <v>21.178000000000001</v>
      </c>
    </row>
    <row r="22" spans="1:7" ht="21.75" customHeight="1">
      <c r="A22" s="115"/>
      <c r="B22" s="115"/>
      <c r="C22" s="115"/>
      <c r="D22" s="115"/>
      <c r="E22" s="19"/>
      <c r="F22" s="19"/>
      <c r="G22" s="19"/>
    </row>
    <row r="23" spans="1:7" ht="21.75" customHeight="1">
      <c r="A23" s="134" t="s">
        <v>920</v>
      </c>
      <c r="B23" s="135">
        <v>2023</v>
      </c>
      <c r="C23" s="135">
        <v>2022</v>
      </c>
      <c r="D23" s="135">
        <v>2021</v>
      </c>
      <c r="E23" s="135">
        <v>2020</v>
      </c>
      <c r="F23" s="135">
        <v>2019</v>
      </c>
      <c r="G23" s="135">
        <v>2018</v>
      </c>
    </row>
    <row r="24" spans="1:7" ht="21.75" customHeight="1">
      <c r="A24" s="21" t="s">
        <v>917</v>
      </c>
      <c r="B24" s="116">
        <v>5.2</v>
      </c>
      <c r="C24" s="117">
        <v>5.375</v>
      </c>
      <c r="D24" s="117">
        <v>5.8</v>
      </c>
      <c r="E24" s="117">
        <v>6.4</v>
      </c>
      <c r="F24" s="117">
        <v>8.3000000000000007</v>
      </c>
      <c r="G24" s="117">
        <v>9.4</v>
      </c>
    </row>
    <row r="25" spans="1:7" ht="21.75" customHeight="1">
      <c r="A25" s="21" t="s">
        <v>918</v>
      </c>
      <c r="B25" s="116">
        <v>1.5</v>
      </c>
      <c r="C25" s="117">
        <v>1.2529999999999999</v>
      </c>
      <c r="D25" s="117">
        <v>1.9</v>
      </c>
      <c r="E25" s="117">
        <v>1.9</v>
      </c>
      <c r="F25" s="117">
        <v>3.6</v>
      </c>
      <c r="G25" s="117">
        <v>3.2</v>
      </c>
    </row>
    <row r="26" spans="1:7" ht="21.75" customHeight="1">
      <c r="A26" s="25" t="s">
        <v>919</v>
      </c>
      <c r="B26" s="71">
        <v>2.1</v>
      </c>
      <c r="C26" s="245">
        <v>1.8779999999999999</v>
      </c>
      <c r="D26" s="245">
        <v>1.7</v>
      </c>
      <c r="E26" s="245">
        <v>1.7</v>
      </c>
      <c r="F26" s="245">
        <v>2.2000000000000002</v>
      </c>
      <c r="G26" s="245">
        <v>1.8</v>
      </c>
    </row>
    <row r="27" spans="1:7" ht="21.75" customHeight="1">
      <c r="A27" s="45" t="s">
        <v>702</v>
      </c>
      <c r="B27" s="249">
        <f t="shared" ref="B27:G27" si="2">SUM(B24:B26)</f>
        <v>8.8000000000000007</v>
      </c>
      <c r="C27" s="247">
        <f t="shared" si="2"/>
        <v>8.5060000000000002</v>
      </c>
      <c r="D27" s="247">
        <f t="shared" si="2"/>
        <v>9.3999999999999986</v>
      </c>
      <c r="E27" s="247">
        <f t="shared" si="2"/>
        <v>10</v>
      </c>
      <c r="F27" s="247">
        <f t="shared" si="2"/>
        <v>14.100000000000001</v>
      </c>
      <c r="G27" s="247">
        <f t="shared" si="2"/>
        <v>14.400000000000002</v>
      </c>
    </row>
    <row r="28" spans="1:7" ht="21.75" customHeight="1">
      <c r="A28" s="19"/>
      <c r="B28" s="19"/>
      <c r="C28" s="19"/>
      <c r="D28" s="19"/>
      <c r="E28" s="19"/>
      <c r="F28" s="19"/>
      <c r="G28" s="19"/>
    </row>
    <row r="29" spans="1:7" ht="66.75" customHeight="1">
      <c r="A29" s="134" t="s">
        <v>921</v>
      </c>
      <c r="B29" s="177" t="s">
        <v>922</v>
      </c>
      <c r="C29" s="177" t="s">
        <v>923</v>
      </c>
      <c r="D29" s="177" t="s">
        <v>924</v>
      </c>
    </row>
    <row r="30" spans="1:7" ht="21.75" customHeight="1">
      <c r="A30" s="21" t="s">
        <v>917</v>
      </c>
      <c r="B30" s="117">
        <v>5.18</v>
      </c>
      <c r="C30" s="117">
        <v>1.42</v>
      </c>
      <c r="D30" s="117">
        <v>6.6</v>
      </c>
    </row>
    <row r="31" spans="1:7" ht="21.75" customHeight="1">
      <c r="A31" s="21" t="s">
        <v>925</v>
      </c>
      <c r="B31" s="117">
        <v>1.5</v>
      </c>
      <c r="C31" s="117">
        <v>8.08</v>
      </c>
      <c r="D31" s="117">
        <v>9.6</v>
      </c>
    </row>
    <row r="32" spans="1:7" ht="21.75" customHeight="1">
      <c r="A32" s="25" t="s">
        <v>926</v>
      </c>
      <c r="B32" s="245">
        <v>2.13</v>
      </c>
      <c r="C32" s="245">
        <v>0</v>
      </c>
      <c r="D32" s="245">
        <v>2.1</v>
      </c>
    </row>
    <row r="33" spans="1:7" ht="21.75" customHeight="1">
      <c r="A33" s="45" t="s">
        <v>609</v>
      </c>
      <c r="B33" s="246">
        <f>SUM(B30:B32)</f>
        <v>8.8099999999999987</v>
      </c>
      <c r="C33" s="247">
        <f>SUM(C30:C32)</f>
        <v>9.5</v>
      </c>
      <c r="D33" s="246">
        <f>SUM(D30:D32)</f>
        <v>18.3</v>
      </c>
    </row>
    <row r="34" spans="1:7" ht="21.75" customHeight="1">
      <c r="A34" s="238"/>
      <c r="B34" s="238"/>
      <c r="C34" s="238"/>
      <c r="D34" s="115"/>
      <c r="F34" s="43"/>
    </row>
    <row r="35" spans="1:7" ht="21.75" customHeight="1">
      <c r="A35" s="134" t="s">
        <v>927</v>
      </c>
      <c r="B35" s="177"/>
      <c r="C35" s="177"/>
      <c r="D35" s="177"/>
      <c r="E35" s="177"/>
      <c r="F35" s="177"/>
      <c r="G35" s="177"/>
    </row>
    <row r="36" spans="1:7" ht="21.75" customHeight="1">
      <c r="A36" s="134" t="s">
        <v>651</v>
      </c>
      <c r="B36" s="135">
        <v>2023</v>
      </c>
      <c r="C36" s="135">
        <v>2022</v>
      </c>
      <c r="D36" s="135">
        <v>2021</v>
      </c>
      <c r="E36" s="135">
        <v>2020</v>
      </c>
      <c r="F36" s="135">
        <v>2019</v>
      </c>
      <c r="G36" s="135">
        <v>2018</v>
      </c>
    </row>
    <row r="37" spans="1:7" ht="21.75" customHeight="1">
      <c r="A37" s="21" t="s">
        <v>589</v>
      </c>
      <c r="B37" s="116">
        <v>7.8</v>
      </c>
      <c r="C37" s="117">
        <v>6.6639999999999997</v>
      </c>
      <c r="D37" s="117">
        <v>5.81</v>
      </c>
      <c r="E37" s="117">
        <v>5.8959999999999999</v>
      </c>
      <c r="F37" s="206">
        <v>5.18</v>
      </c>
      <c r="G37" s="206">
        <v>2.76</v>
      </c>
    </row>
    <row r="38" spans="1:7" ht="21.75" customHeight="1">
      <c r="A38" s="21" t="s">
        <v>928</v>
      </c>
      <c r="B38" s="116">
        <v>7.03</v>
      </c>
      <c r="C38" s="117">
        <v>6.6070000000000002</v>
      </c>
      <c r="D38" s="117">
        <v>6.35</v>
      </c>
      <c r="E38" s="117">
        <v>6.2489999999999997</v>
      </c>
      <c r="F38" s="206">
        <v>2.19</v>
      </c>
      <c r="G38" s="206">
        <v>2.96</v>
      </c>
    </row>
    <row r="39" spans="1:7" ht="21.75" customHeight="1">
      <c r="A39" s="21" t="s">
        <v>639</v>
      </c>
      <c r="B39" s="117">
        <v>22.36</v>
      </c>
      <c r="C39" s="117">
        <v>23.777999999999999</v>
      </c>
      <c r="D39" s="117">
        <v>23.99</v>
      </c>
      <c r="E39" s="117">
        <v>23.14</v>
      </c>
      <c r="F39" s="206">
        <v>22.2</v>
      </c>
      <c r="G39" s="206">
        <v>15.83</v>
      </c>
    </row>
    <row r="40" spans="1:7" ht="21.75" customHeight="1">
      <c r="A40" s="25" t="s">
        <v>640</v>
      </c>
      <c r="B40" s="245">
        <v>14.49</v>
      </c>
      <c r="C40" s="245">
        <v>19.084</v>
      </c>
      <c r="D40" s="245">
        <v>19.48</v>
      </c>
      <c r="E40" s="245">
        <v>18.920000000000002</v>
      </c>
      <c r="F40" s="250">
        <v>18.04</v>
      </c>
      <c r="G40" s="250">
        <v>19.829999999999998</v>
      </c>
    </row>
    <row r="41" spans="1:7" ht="21.75" customHeight="1">
      <c r="A41" s="45" t="s">
        <v>702</v>
      </c>
      <c r="B41" s="246">
        <f t="shared" ref="B41:G41" si="3">SUM(B37:B40)</f>
        <v>51.68</v>
      </c>
      <c r="C41" s="247">
        <f t="shared" si="3"/>
        <v>56.132999999999996</v>
      </c>
      <c r="D41" s="247">
        <f t="shared" si="3"/>
        <v>55.629999999999995</v>
      </c>
      <c r="E41" s="247">
        <f t="shared" si="3"/>
        <v>54.204999999999998</v>
      </c>
      <c r="F41" s="247">
        <f t="shared" si="3"/>
        <v>47.61</v>
      </c>
      <c r="G41" s="247">
        <f t="shared" si="3"/>
        <v>41.379999999999995</v>
      </c>
    </row>
    <row r="42" spans="1:7" ht="21.75" customHeight="1">
      <c r="A42" s="115"/>
      <c r="B42" s="115"/>
      <c r="C42" s="115"/>
      <c r="D42" s="115"/>
      <c r="E42" s="115"/>
      <c r="F42" s="115"/>
      <c r="G42" s="19"/>
    </row>
    <row r="43" spans="1:7" ht="21.75" customHeight="1">
      <c r="A43" s="134" t="s">
        <v>929</v>
      </c>
      <c r="B43" s="177"/>
      <c r="C43" s="177"/>
      <c r="D43" s="177"/>
      <c r="E43" s="177"/>
      <c r="F43" s="177"/>
      <c r="G43" s="177"/>
    </row>
    <row r="44" spans="1:7" ht="21.75" customHeight="1">
      <c r="A44" s="134" t="s">
        <v>651</v>
      </c>
      <c r="B44" s="135">
        <v>2023</v>
      </c>
      <c r="C44" s="135">
        <v>2022</v>
      </c>
      <c r="D44" s="135">
        <v>2021</v>
      </c>
      <c r="E44" s="135">
        <v>2020</v>
      </c>
      <c r="F44" s="135">
        <v>2019</v>
      </c>
      <c r="G44" s="135">
        <v>2018</v>
      </c>
    </row>
    <row r="45" spans="1:7" ht="21.75" customHeight="1">
      <c r="A45" s="21" t="s">
        <v>589</v>
      </c>
      <c r="B45" s="625">
        <v>0.42</v>
      </c>
      <c r="C45" s="625">
        <v>0.39</v>
      </c>
      <c r="D45" s="58">
        <v>0.372</v>
      </c>
      <c r="E45" s="228">
        <v>0.32</v>
      </c>
      <c r="F45" s="58">
        <v>0.36549999999999999</v>
      </c>
      <c r="G45" s="58">
        <v>0.27710000000000001</v>
      </c>
    </row>
    <row r="46" spans="1:7" ht="21.75" customHeight="1">
      <c r="A46" s="21" t="s">
        <v>928</v>
      </c>
      <c r="B46" s="625">
        <v>0.78</v>
      </c>
      <c r="C46" s="625">
        <v>0.79</v>
      </c>
      <c r="D46" s="58">
        <v>0.79800000000000004</v>
      </c>
      <c r="E46" s="228">
        <v>0.79</v>
      </c>
      <c r="F46" s="58">
        <v>0.40500000000000003</v>
      </c>
      <c r="G46" s="58">
        <v>0.50560000000000005</v>
      </c>
    </row>
    <row r="47" spans="1:7" ht="21.75" customHeight="1">
      <c r="A47" s="21" t="s">
        <v>639</v>
      </c>
      <c r="B47" s="625">
        <v>0.89</v>
      </c>
      <c r="C47" s="625">
        <v>0.89</v>
      </c>
      <c r="D47" s="58">
        <v>0.876</v>
      </c>
      <c r="E47" s="228">
        <v>0.83</v>
      </c>
      <c r="F47" s="58">
        <v>0.78979999999999995</v>
      </c>
      <c r="G47" s="58">
        <v>0.68</v>
      </c>
    </row>
    <row r="48" spans="1:7" ht="21.75" customHeight="1">
      <c r="A48" s="25" t="s">
        <v>640</v>
      </c>
      <c r="B48" s="623">
        <v>0.83</v>
      </c>
      <c r="C48" s="623">
        <v>0.86</v>
      </c>
      <c r="D48" s="61">
        <v>0.83799999999999997</v>
      </c>
      <c r="E48" s="87">
        <v>0.87</v>
      </c>
      <c r="F48" s="61">
        <v>0.80820000000000003</v>
      </c>
      <c r="G48" s="61">
        <v>0.8407</v>
      </c>
    </row>
    <row r="49" spans="1:7" ht="21.75" customHeight="1">
      <c r="A49" s="45" t="s">
        <v>702</v>
      </c>
      <c r="B49" s="630">
        <v>0.74</v>
      </c>
      <c r="C49" s="631">
        <v>0.75</v>
      </c>
      <c r="D49" s="253">
        <v>0.75</v>
      </c>
      <c r="E49" s="252">
        <v>0.71</v>
      </c>
      <c r="F49" s="253">
        <v>0.68010000000000004</v>
      </c>
      <c r="G49" s="253">
        <v>0.66</v>
      </c>
    </row>
    <row r="50" spans="1:7" ht="21.75" customHeight="1">
      <c r="A50" s="185" t="s">
        <v>930</v>
      </c>
      <c r="B50" s="276"/>
      <c r="C50" s="276"/>
      <c r="D50" s="239"/>
      <c r="E50" s="132"/>
      <c r="F50" s="132"/>
      <c r="G50" s="132"/>
    </row>
    <row r="51" spans="1:7" ht="21.75" customHeight="1"/>
    <row r="52" spans="1:7" ht="21.75" customHeight="1">
      <c r="A52" s="134" t="s">
        <v>931</v>
      </c>
      <c r="B52" s="177"/>
      <c r="C52" s="177"/>
      <c r="D52" s="177"/>
      <c r="E52" s="177"/>
      <c r="F52" s="177"/>
      <c r="G52" s="177"/>
    </row>
    <row r="53" spans="1:7" ht="21.75" customHeight="1">
      <c r="A53" s="134" t="s">
        <v>651</v>
      </c>
      <c r="B53" s="135">
        <v>2023</v>
      </c>
      <c r="C53" s="135">
        <v>2022</v>
      </c>
      <c r="D53" s="135">
        <v>2021</v>
      </c>
      <c r="E53" s="135">
        <v>2020</v>
      </c>
      <c r="F53" s="135">
        <v>2019</v>
      </c>
      <c r="G53" s="135">
        <v>2018</v>
      </c>
    </row>
    <row r="54" spans="1:7" ht="21.75" customHeight="1">
      <c r="A54" s="21" t="s">
        <v>589</v>
      </c>
      <c r="B54" s="35">
        <v>637</v>
      </c>
      <c r="C54" s="35">
        <v>683</v>
      </c>
      <c r="D54" s="35">
        <v>640</v>
      </c>
      <c r="E54" s="35">
        <v>770</v>
      </c>
      <c r="F54" s="35">
        <v>830</v>
      </c>
      <c r="G54" s="35">
        <v>990</v>
      </c>
    </row>
    <row r="55" spans="1:7" ht="21.75" customHeight="1">
      <c r="A55" s="21" t="s">
        <v>928</v>
      </c>
      <c r="B55" s="35">
        <v>657</v>
      </c>
      <c r="C55" s="35">
        <v>593</v>
      </c>
      <c r="D55" s="35">
        <v>550</v>
      </c>
      <c r="E55" s="35">
        <v>710</v>
      </c>
      <c r="F55" s="35">
        <v>1930</v>
      </c>
      <c r="G55" s="35">
        <v>2190</v>
      </c>
    </row>
    <row r="56" spans="1:7" ht="21.75" customHeight="1">
      <c r="A56" s="21" t="s">
        <v>639</v>
      </c>
      <c r="B56" s="35">
        <v>150</v>
      </c>
      <c r="C56" s="35">
        <v>154</v>
      </c>
      <c r="D56" s="35">
        <v>180</v>
      </c>
      <c r="E56" s="35">
        <v>250</v>
      </c>
      <c r="F56" s="35">
        <v>320</v>
      </c>
      <c r="G56" s="35">
        <v>410</v>
      </c>
    </row>
    <row r="57" spans="1:7" ht="16.75" customHeight="1">
      <c r="A57" s="25" t="s">
        <v>640</v>
      </c>
      <c r="B57" s="36">
        <v>450</v>
      </c>
      <c r="C57" s="36">
        <v>455</v>
      </c>
      <c r="D57" s="36">
        <v>550</v>
      </c>
      <c r="E57" s="36">
        <v>420</v>
      </c>
      <c r="F57" s="36">
        <v>640</v>
      </c>
      <c r="G57" s="36">
        <v>570</v>
      </c>
    </row>
    <row r="58" spans="1:7" ht="21.75" customHeight="1">
      <c r="A58" s="45" t="s">
        <v>702</v>
      </c>
      <c r="B58" s="254">
        <v>406</v>
      </c>
      <c r="C58" s="255">
        <v>416</v>
      </c>
      <c r="D58" s="255">
        <v>420</v>
      </c>
      <c r="E58" s="255">
        <v>490</v>
      </c>
      <c r="F58" s="255">
        <v>590</v>
      </c>
      <c r="G58" s="255">
        <v>640</v>
      </c>
    </row>
    <row r="59" spans="1:7" ht="39.25" customHeight="1">
      <c r="A59" s="115"/>
      <c r="B59" s="115"/>
      <c r="C59" s="115"/>
      <c r="D59" s="19"/>
      <c r="E59" s="19"/>
      <c r="F59" s="19"/>
      <c r="G59" s="19"/>
    </row>
    <row r="60" spans="1:7" ht="39.25" customHeight="1">
      <c r="A60" s="134" t="s">
        <v>932</v>
      </c>
      <c r="B60" s="134"/>
      <c r="C60" s="134"/>
      <c r="D60" s="177"/>
      <c r="E60" s="177"/>
      <c r="F60" s="177"/>
    </row>
    <row r="61" spans="1:7" ht="39.25" customHeight="1">
      <c r="A61" s="134" t="s">
        <v>651</v>
      </c>
      <c r="B61" s="135">
        <v>2023</v>
      </c>
      <c r="C61" s="135">
        <v>2022</v>
      </c>
      <c r="D61" s="135">
        <v>2021</v>
      </c>
      <c r="E61" s="135">
        <v>2020</v>
      </c>
      <c r="F61" s="135">
        <v>2019</v>
      </c>
    </row>
    <row r="62" spans="1:7" ht="22.5" customHeight="1">
      <c r="A62" s="21" t="s">
        <v>589</v>
      </c>
      <c r="B62" s="256">
        <v>0.86</v>
      </c>
      <c r="C62" s="206">
        <v>0.64</v>
      </c>
      <c r="D62" s="206">
        <v>0.62</v>
      </c>
      <c r="E62" s="206">
        <v>0.55000000000000004</v>
      </c>
      <c r="F62" s="206">
        <v>0.77</v>
      </c>
    </row>
    <row r="63" spans="1:7" ht="21.75" customHeight="1">
      <c r="A63" s="21" t="s">
        <v>928</v>
      </c>
      <c r="B63" s="256">
        <v>6.13</v>
      </c>
      <c r="C63" s="206">
        <v>5.4</v>
      </c>
      <c r="D63" s="206">
        <v>5.49</v>
      </c>
      <c r="E63" s="206">
        <v>7.11</v>
      </c>
      <c r="F63" s="206">
        <v>14.5</v>
      </c>
    </row>
    <row r="64" spans="1:7" ht="21.75" customHeight="1">
      <c r="A64" s="21" t="s">
        <v>639</v>
      </c>
      <c r="B64" s="256">
        <v>4.03</v>
      </c>
      <c r="C64" s="206">
        <v>3.8</v>
      </c>
      <c r="D64" s="206">
        <v>4.3600000000000003</v>
      </c>
      <c r="E64" s="206">
        <v>6.46</v>
      </c>
      <c r="F64" s="206">
        <v>8.1199999999999992</v>
      </c>
    </row>
    <row r="65" spans="1:7" ht="18.25" customHeight="1">
      <c r="A65" s="25" t="s">
        <v>640</v>
      </c>
      <c r="B65" s="257">
        <v>12.21</v>
      </c>
      <c r="C65" s="250">
        <v>11.73</v>
      </c>
      <c r="D65" s="250">
        <v>15.08</v>
      </c>
      <c r="E65" s="250">
        <v>13.94</v>
      </c>
      <c r="F65" s="250">
        <v>14.62</v>
      </c>
    </row>
    <row r="66" spans="1:7" ht="21.75" customHeight="1">
      <c r="A66" s="45"/>
      <c r="B66" s="28"/>
      <c r="C66" s="28"/>
      <c r="D66" s="277"/>
      <c r="E66" s="277"/>
      <c r="F66" s="277"/>
    </row>
    <row r="67" spans="1:7" ht="21.75" customHeight="1">
      <c r="A67" s="115" t="s">
        <v>933</v>
      </c>
      <c r="B67" s="115"/>
      <c r="C67" s="115"/>
      <c r="D67" s="115"/>
      <c r="E67" s="115"/>
      <c r="F67" s="278"/>
    </row>
    <row r="68" spans="1:7" ht="21.75" customHeight="1">
      <c r="A68" s="134" t="s">
        <v>934</v>
      </c>
      <c r="B68" s="177"/>
      <c r="C68" s="177"/>
      <c r="D68" s="177"/>
      <c r="E68" s="177"/>
      <c r="F68" s="177"/>
      <c r="G68" s="177"/>
    </row>
    <row r="69" spans="1:7" ht="21.75" customHeight="1">
      <c r="A69" s="258" t="s">
        <v>651</v>
      </c>
      <c r="B69" s="67">
        <v>2023</v>
      </c>
      <c r="C69" s="67">
        <v>2022</v>
      </c>
      <c r="D69" s="67">
        <v>2021</v>
      </c>
      <c r="E69" s="67">
        <v>2020</v>
      </c>
      <c r="F69" s="67">
        <v>2019</v>
      </c>
      <c r="G69" s="67">
        <v>2018</v>
      </c>
    </row>
    <row r="70" spans="1:7" ht="21.75" customHeight="1">
      <c r="A70" s="45" t="s">
        <v>589</v>
      </c>
      <c r="B70" s="249">
        <v>1.05</v>
      </c>
      <c r="C70" s="259">
        <v>0.78</v>
      </c>
      <c r="D70" s="260">
        <v>0.71</v>
      </c>
      <c r="E70" s="260">
        <v>0.63</v>
      </c>
      <c r="F70" s="260">
        <v>0.74448000000000003</v>
      </c>
      <c r="G70" s="260">
        <v>0.48263400000000001</v>
      </c>
    </row>
    <row r="71" spans="1:7" ht="21.75" customHeight="1">
      <c r="A71" s="19" t="s">
        <v>689</v>
      </c>
      <c r="B71" s="69">
        <v>0</v>
      </c>
      <c r="C71" s="261">
        <v>0</v>
      </c>
      <c r="D71" s="261">
        <v>1.2999999999999999E-2</v>
      </c>
      <c r="E71" s="261">
        <v>0</v>
      </c>
      <c r="F71" s="261">
        <v>0</v>
      </c>
      <c r="G71" s="261">
        <v>0</v>
      </c>
    </row>
    <row r="72" spans="1:7" ht="21.75" customHeight="1">
      <c r="A72" s="21" t="s">
        <v>676</v>
      </c>
      <c r="B72" s="35">
        <v>0</v>
      </c>
      <c r="C72" s="206">
        <v>6.2199999999999998E-3</v>
      </c>
      <c r="D72" s="206">
        <v>0.26100000000000001</v>
      </c>
      <c r="E72" s="206">
        <v>4.8999999999999998E-4</v>
      </c>
      <c r="F72" s="206">
        <v>0</v>
      </c>
      <c r="G72" s="206">
        <v>3.0000000000000001E-5</v>
      </c>
    </row>
    <row r="73" spans="1:7" ht="21.75" customHeight="1">
      <c r="A73" s="21" t="s">
        <v>690</v>
      </c>
      <c r="B73" s="116">
        <v>0.4</v>
      </c>
      <c r="C73" s="206">
        <v>0.32900000000000001</v>
      </c>
      <c r="D73" s="206">
        <v>0.313</v>
      </c>
      <c r="E73" s="206">
        <v>0.29836999999999902</v>
      </c>
      <c r="F73" s="206">
        <v>0.37197999999999998</v>
      </c>
      <c r="G73" s="206">
        <v>0.19057399999999999</v>
      </c>
    </row>
    <row r="74" spans="1:7" ht="21.75" customHeight="1">
      <c r="A74" s="25" t="s">
        <v>678</v>
      </c>
      <c r="B74" s="71">
        <v>0.65</v>
      </c>
      <c r="C74" s="250">
        <v>0.45</v>
      </c>
      <c r="D74" s="250">
        <v>0.39400000000000002</v>
      </c>
      <c r="E74" s="250">
        <v>0.33178774</v>
      </c>
      <c r="F74" s="250">
        <v>0.3725</v>
      </c>
      <c r="G74" s="250">
        <v>0.29203000000000001</v>
      </c>
    </row>
    <row r="75" spans="1:7" ht="21.75" customHeight="1">
      <c r="A75" s="45" t="s">
        <v>928</v>
      </c>
      <c r="B75" s="249">
        <v>1.98</v>
      </c>
      <c r="C75" s="259">
        <v>1.77</v>
      </c>
      <c r="D75" s="260">
        <v>1.6060000000000001</v>
      </c>
      <c r="E75" s="260">
        <v>1.613</v>
      </c>
      <c r="F75" s="260">
        <v>3.220005</v>
      </c>
      <c r="G75" s="260">
        <v>2.8923839999999998</v>
      </c>
    </row>
    <row r="76" spans="1:7" ht="21.75" customHeight="1">
      <c r="A76" s="46" t="s">
        <v>639</v>
      </c>
      <c r="B76" s="262">
        <v>2.83</v>
      </c>
      <c r="C76" s="263">
        <v>2.89</v>
      </c>
      <c r="D76" s="264">
        <v>3.38</v>
      </c>
      <c r="E76" s="264">
        <v>4.8369999999999997</v>
      </c>
      <c r="F76" s="264">
        <v>5.9089669999999996</v>
      </c>
      <c r="G76" s="264">
        <v>7.3360430000000001</v>
      </c>
    </row>
    <row r="77" spans="1:7" ht="21.75" customHeight="1">
      <c r="A77" s="19" t="s">
        <v>691</v>
      </c>
      <c r="B77" s="72">
        <v>1.51</v>
      </c>
      <c r="C77" s="72">
        <v>1.89</v>
      </c>
      <c r="D77" s="261">
        <v>1.7190000000000001</v>
      </c>
      <c r="E77" s="261">
        <v>1.8037700000000001</v>
      </c>
      <c r="F77" s="261">
        <v>1.5765499999999999</v>
      </c>
      <c r="G77" s="261">
        <v>1.5596650000000001</v>
      </c>
    </row>
    <row r="78" spans="1:7" ht="21.75" customHeight="1">
      <c r="A78" s="25" t="s">
        <v>935</v>
      </c>
      <c r="B78" s="71">
        <v>1.32</v>
      </c>
      <c r="C78" s="250">
        <v>1</v>
      </c>
      <c r="D78" s="250">
        <v>1.657</v>
      </c>
      <c r="E78" s="250">
        <v>3.0342099999999999</v>
      </c>
      <c r="F78" s="250">
        <v>4.3324170000000004</v>
      </c>
      <c r="G78" s="250">
        <v>5.7763780000000002</v>
      </c>
    </row>
    <row r="79" spans="1:7" ht="21.75" customHeight="1">
      <c r="A79" s="45" t="s">
        <v>640</v>
      </c>
      <c r="B79" s="249">
        <v>2.92</v>
      </c>
      <c r="C79" s="259">
        <v>3.05</v>
      </c>
      <c r="D79" s="260">
        <v>3.7450000000000001</v>
      </c>
      <c r="E79" s="260">
        <v>2.8860000000000001</v>
      </c>
      <c r="F79" s="260">
        <v>4.2793799999999997</v>
      </c>
      <c r="G79" s="260">
        <v>3.7565400000000002</v>
      </c>
    </row>
    <row r="80" spans="1:7" ht="21.75" customHeight="1">
      <c r="A80" s="46" t="s">
        <v>702</v>
      </c>
      <c r="B80" s="262">
        <f>SUM(B70,B75,B76,B79)</f>
        <v>8.7800000000000011</v>
      </c>
      <c r="C80" s="264">
        <v>8.5</v>
      </c>
      <c r="D80" s="264">
        <v>9.4390000000000001</v>
      </c>
      <c r="E80" s="264">
        <v>9.968</v>
      </c>
      <c r="F80" s="264">
        <v>14.152832</v>
      </c>
      <c r="G80" s="264">
        <v>14.467601</v>
      </c>
    </row>
    <row r="81" spans="1:7" ht="21.75" customHeight="1">
      <c r="A81" s="30" t="s">
        <v>936</v>
      </c>
      <c r="B81" s="265">
        <f>SUM(B73,B74,B75)</f>
        <v>3.0300000000000002</v>
      </c>
      <c r="C81" s="266">
        <f>SUM(C73:C75)</f>
        <v>2.5489999999999999</v>
      </c>
      <c r="D81" s="266">
        <f>SUM(D73:D75)</f>
        <v>2.3130000000000002</v>
      </c>
      <c r="E81" s="266">
        <f>SUM(E73:E75)</f>
        <v>2.2431577399999991</v>
      </c>
      <c r="F81" s="266">
        <f>SUM(F73:F75)</f>
        <v>3.9644849999999998</v>
      </c>
      <c r="G81" s="266">
        <f>SUM(G73:G75)</f>
        <v>3.3749880000000001</v>
      </c>
    </row>
    <row r="82" spans="1:7" ht="21.75" customHeight="1">
      <c r="B82" s="267">
        <f t="shared" ref="B82:G82" si="4">B81/B80</f>
        <v>0.34510250569476081</v>
      </c>
      <c r="C82" s="267">
        <f t="shared" si="4"/>
        <v>0.29988235294117649</v>
      </c>
      <c r="D82" s="267">
        <f t="shared" si="4"/>
        <v>0.24504714482466364</v>
      </c>
      <c r="E82" s="267">
        <f t="shared" si="4"/>
        <v>0.22503588884430167</v>
      </c>
      <c r="F82" s="267">
        <f t="shared" si="4"/>
        <v>0.28011955487071422</v>
      </c>
      <c r="G82" s="267">
        <f t="shared" si="4"/>
        <v>0.23327903499688718</v>
      </c>
    </row>
    <row r="83" spans="1:7" ht="21.75" customHeight="1"/>
    <row r="84" spans="1:7" ht="21.75" customHeight="1">
      <c r="A84" s="134" t="s">
        <v>937</v>
      </c>
      <c r="B84" s="177"/>
      <c r="C84" s="177"/>
      <c r="D84" s="177"/>
      <c r="E84" s="177"/>
      <c r="F84" s="177"/>
      <c r="G84" s="177"/>
    </row>
    <row r="85" spans="1:7" ht="21.75" customHeight="1">
      <c r="A85" s="258" t="s">
        <v>651</v>
      </c>
      <c r="B85" s="67">
        <v>2023</v>
      </c>
      <c r="C85" s="67">
        <v>2022</v>
      </c>
      <c r="D85" s="67">
        <v>2021</v>
      </c>
      <c r="E85" s="67">
        <v>2020</v>
      </c>
      <c r="F85" s="67">
        <v>2019</v>
      </c>
      <c r="G85" s="67">
        <v>2018</v>
      </c>
    </row>
    <row r="86" spans="1:7" ht="21.75" customHeight="1">
      <c r="A86" s="45" t="s">
        <v>589</v>
      </c>
      <c r="B86" s="29">
        <v>63</v>
      </c>
      <c r="C86" s="268">
        <v>50.8</v>
      </c>
      <c r="D86" s="268">
        <v>46</v>
      </c>
      <c r="E86" s="268">
        <v>39.416872424636701</v>
      </c>
      <c r="F86" s="268">
        <v>69.395153446752403</v>
      </c>
      <c r="G86" s="268">
        <v>66.975892570940303</v>
      </c>
    </row>
    <row r="87" spans="1:7" ht="21.75" customHeight="1">
      <c r="A87" s="19" t="s">
        <v>689</v>
      </c>
      <c r="B87" s="70">
        <v>0</v>
      </c>
      <c r="C87" s="70">
        <v>0</v>
      </c>
      <c r="D87" s="70">
        <v>0</v>
      </c>
      <c r="E87" s="70">
        <v>5.3033517182867902</v>
      </c>
      <c r="F87" s="70">
        <v>0</v>
      </c>
      <c r="G87" s="70">
        <v>0</v>
      </c>
    </row>
    <row r="88" spans="1:7" ht="21.75" customHeight="1">
      <c r="A88" s="21" t="s">
        <v>676</v>
      </c>
      <c r="B88" s="20">
        <v>0</v>
      </c>
      <c r="C88" s="269">
        <v>3.9</v>
      </c>
      <c r="D88" s="20">
        <v>2</v>
      </c>
      <c r="E88" s="20">
        <v>0.28508485824254298</v>
      </c>
      <c r="F88" s="20">
        <v>0</v>
      </c>
      <c r="G88" s="20">
        <v>0</v>
      </c>
    </row>
    <row r="89" spans="1:7" ht="21.75" customHeight="1">
      <c r="A89" s="21" t="s">
        <v>690</v>
      </c>
      <c r="B89" s="20">
        <v>98</v>
      </c>
      <c r="C89" s="20">
        <v>85</v>
      </c>
      <c r="D89" s="20">
        <v>77</v>
      </c>
      <c r="E89" s="20">
        <v>61.941093577823402</v>
      </c>
      <c r="F89" s="20">
        <v>83.291554700303294</v>
      </c>
      <c r="G89" s="20">
        <v>44.844191061375703</v>
      </c>
    </row>
    <row r="90" spans="1:7" ht="21.75" customHeight="1">
      <c r="A90" s="25" t="s">
        <v>678</v>
      </c>
      <c r="B90" s="26">
        <v>481</v>
      </c>
      <c r="C90" s="26">
        <v>377</v>
      </c>
      <c r="D90" s="26">
        <v>315</v>
      </c>
      <c r="E90" s="26">
        <v>244.56133574920301</v>
      </c>
      <c r="F90" s="26">
        <v>302.71582555289399</v>
      </c>
      <c r="G90" s="26">
        <v>247.91099649035201</v>
      </c>
    </row>
    <row r="91" spans="1:7" ht="21.75" customHeight="1">
      <c r="A91" s="45" t="s">
        <v>928</v>
      </c>
      <c r="B91" s="29">
        <v>657</v>
      </c>
      <c r="C91" s="268">
        <v>594</v>
      </c>
      <c r="D91" s="268">
        <v>550</v>
      </c>
      <c r="E91" s="268">
        <v>710</v>
      </c>
      <c r="F91" s="268">
        <v>1930</v>
      </c>
      <c r="G91" s="268">
        <v>2190</v>
      </c>
    </row>
    <row r="92" spans="1:7" ht="21.75" customHeight="1">
      <c r="A92" s="46" t="s">
        <v>639</v>
      </c>
      <c r="B92" s="270">
        <v>150</v>
      </c>
      <c r="C92" s="271">
        <v>154</v>
      </c>
      <c r="D92" s="271">
        <v>364</v>
      </c>
      <c r="E92" s="271">
        <v>254.19891769219501</v>
      </c>
      <c r="F92" s="271">
        <v>321.23934280421901</v>
      </c>
      <c r="G92" s="271">
        <v>407.65119374912302</v>
      </c>
    </row>
    <row r="93" spans="1:7" ht="16.75" customHeight="1">
      <c r="A93" s="19" t="s">
        <v>680</v>
      </c>
      <c r="B93" s="70">
        <v>94</v>
      </c>
      <c r="C93" s="70">
        <v>71.27</v>
      </c>
      <c r="D93" s="70">
        <v>119</v>
      </c>
      <c r="E93" s="70">
        <v>210</v>
      </c>
      <c r="F93" s="70">
        <v>315.10222741213198</v>
      </c>
      <c r="G93" s="70">
        <v>418.85756739131301</v>
      </c>
    </row>
    <row r="94" spans="1:7" ht="21.75" customHeight="1">
      <c r="A94" s="25" t="s">
        <v>691</v>
      </c>
      <c r="B94" s="26">
        <v>313</v>
      </c>
      <c r="C94" s="26">
        <v>396</v>
      </c>
      <c r="D94" s="26">
        <v>360</v>
      </c>
      <c r="E94" s="26">
        <v>380</v>
      </c>
      <c r="F94" s="26">
        <v>339.405107829114</v>
      </c>
      <c r="G94" s="26">
        <v>370.89935368701202</v>
      </c>
    </row>
    <row r="95" spans="1:7" ht="21.75" customHeight="1">
      <c r="A95" s="45" t="s">
        <v>640</v>
      </c>
      <c r="B95" s="29">
        <v>450</v>
      </c>
      <c r="C95" s="268">
        <v>455</v>
      </c>
      <c r="D95" s="268">
        <v>549</v>
      </c>
      <c r="E95" s="268">
        <v>420</v>
      </c>
      <c r="F95" s="268">
        <v>640</v>
      </c>
      <c r="G95" s="268">
        <v>570</v>
      </c>
    </row>
    <row r="96" spans="1:7" ht="21.75" customHeight="1">
      <c r="A96" s="46" t="s">
        <v>702</v>
      </c>
      <c r="B96" s="270">
        <v>195</v>
      </c>
      <c r="C96" s="271">
        <v>193</v>
      </c>
      <c r="D96" s="271">
        <v>216</v>
      </c>
      <c r="E96" s="271">
        <v>226.12079027030401</v>
      </c>
      <c r="F96" s="271">
        <v>377.34108759328097</v>
      </c>
      <c r="G96" s="271">
        <v>436.21355698674398</v>
      </c>
    </row>
    <row r="97" spans="1:8" ht="21.75" customHeight="1">
      <c r="A97" s="19"/>
      <c r="B97" s="131"/>
      <c r="C97" s="131"/>
      <c r="D97" s="131"/>
      <c r="E97" s="131"/>
      <c r="F97" s="131"/>
      <c r="G97" s="131"/>
    </row>
    <row r="98" spans="1:8" ht="21.75" customHeight="1"/>
    <row r="99" spans="1:8" ht="21.75" customHeight="1">
      <c r="A99" s="134" t="s">
        <v>938</v>
      </c>
      <c r="B99" s="177"/>
      <c r="C99" s="177"/>
      <c r="D99" s="177"/>
      <c r="E99" s="177"/>
      <c r="F99" s="177"/>
      <c r="G99" s="177"/>
    </row>
    <row r="100" spans="1:8" ht="76.75" customHeight="1">
      <c r="A100" s="134" t="s">
        <v>939</v>
      </c>
      <c r="B100" s="177" t="s">
        <v>940</v>
      </c>
      <c r="C100" s="177" t="s">
        <v>941</v>
      </c>
      <c r="D100" s="177" t="s">
        <v>942</v>
      </c>
      <c r="E100" s="177" t="s">
        <v>943</v>
      </c>
      <c r="F100" s="177" t="s">
        <v>944</v>
      </c>
      <c r="G100" s="177" t="s">
        <v>945</v>
      </c>
      <c r="H100" s="177" t="s">
        <v>946</v>
      </c>
    </row>
    <row r="101" spans="1:8" ht="21.75" customHeight="1">
      <c r="A101" s="21" t="s">
        <v>689</v>
      </c>
      <c r="B101" s="117">
        <v>5.15</v>
      </c>
      <c r="C101" s="117">
        <v>0.04</v>
      </c>
      <c r="D101" s="117">
        <f t="shared" ref="D101:D109" si="5">B101-C101</f>
        <v>5.1100000000000003</v>
      </c>
      <c r="E101" s="117">
        <v>0</v>
      </c>
      <c r="F101" s="35">
        <v>0</v>
      </c>
      <c r="G101" s="116">
        <v>2.1</v>
      </c>
      <c r="H101" s="117">
        <v>5.0999999999999996</v>
      </c>
    </row>
    <row r="102" spans="1:8" ht="21.75" customHeight="1">
      <c r="A102" s="21" t="s">
        <v>676</v>
      </c>
      <c r="B102" s="117">
        <v>2.12</v>
      </c>
      <c r="C102" s="117">
        <v>0.05</v>
      </c>
      <c r="D102" s="117">
        <f t="shared" si="5"/>
        <v>2.0700000000000003</v>
      </c>
      <c r="E102" s="117">
        <v>7.7</v>
      </c>
      <c r="F102" s="35">
        <v>0</v>
      </c>
      <c r="G102" s="116">
        <v>0.3</v>
      </c>
      <c r="H102" s="117">
        <v>2.1</v>
      </c>
    </row>
    <row r="103" spans="1:8" ht="21.75" customHeight="1">
      <c r="A103" s="21" t="s">
        <v>690</v>
      </c>
      <c r="B103" s="117">
        <v>1.75</v>
      </c>
      <c r="C103" s="117">
        <v>0</v>
      </c>
      <c r="D103" s="117">
        <f t="shared" si="5"/>
        <v>1.75</v>
      </c>
      <c r="E103" s="117">
        <v>10.9</v>
      </c>
      <c r="F103" s="35">
        <v>0</v>
      </c>
      <c r="G103" s="116">
        <v>3.8</v>
      </c>
      <c r="H103" s="117">
        <v>1.75</v>
      </c>
    </row>
    <row r="104" spans="1:8" ht="21.75" customHeight="1">
      <c r="A104" s="21" t="s">
        <v>678</v>
      </c>
      <c r="B104" s="117">
        <v>1.54</v>
      </c>
      <c r="C104" s="117">
        <v>0.05</v>
      </c>
      <c r="D104" s="117">
        <f t="shared" si="5"/>
        <v>1.49</v>
      </c>
      <c r="E104" s="117">
        <v>0</v>
      </c>
      <c r="F104" s="35">
        <v>0</v>
      </c>
      <c r="G104" s="116">
        <v>1.6</v>
      </c>
      <c r="H104" s="117">
        <v>1.53</v>
      </c>
    </row>
    <row r="105" spans="1:8" ht="21.75" customHeight="1">
      <c r="A105" s="21" t="s">
        <v>604</v>
      </c>
      <c r="B105" s="117">
        <v>2</v>
      </c>
      <c r="C105" s="117">
        <v>0</v>
      </c>
      <c r="D105" s="117">
        <f t="shared" si="5"/>
        <v>2</v>
      </c>
      <c r="E105" s="117">
        <v>0</v>
      </c>
      <c r="F105" s="116">
        <v>0.79</v>
      </c>
      <c r="G105" s="116">
        <v>6.2</v>
      </c>
      <c r="H105" s="117">
        <v>1.98</v>
      </c>
    </row>
    <row r="106" spans="1:8" ht="27.5" customHeight="1">
      <c r="A106" s="21" t="s">
        <v>680</v>
      </c>
      <c r="B106" s="117">
        <v>1.3</v>
      </c>
      <c r="C106" s="117">
        <v>2.58</v>
      </c>
      <c r="D106" s="117">
        <f t="shared" si="5"/>
        <v>-1.28</v>
      </c>
      <c r="E106" s="117">
        <v>32.9</v>
      </c>
      <c r="F106" s="116">
        <v>9.7100000000000009</v>
      </c>
      <c r="G106" s="116">
        <v>5.3</v>
      </c>
      <c r="H106" s="117">
        <v>0</v>
      </c>
    </row>
    <row r="107" spans="1:8" ht="27.5" customHeight="1">
      <c r="A107" s="21" t="s">
        <v>691</v>
      </c>
      <c r="B107" s="117">
        <v>1.5</v>
      </c>
      <c r="C107" s="117">
        <v>0.08</v>
      </c>
      <c r="D107" s="117">
        <f t="shared" si="5"/>
        <v>1.42</v>
      </c>
      <c r="E107" s="117">
        <v>0</v>
      </c>
      <c r="F107" s="35">
        <v>0</v>
      </c>
      <c r="G107" s="116">
        <v>7.3</v>
      </c>
      <c r="H107" s="117">
        <v>0</v>
      </c>
    </row>
    <row r="108" spans="1:8" ht="21.75" customHeight="1">
      <c r="A108" s="25" t="s">
        <v>746</v>
      </c>
      <c r="B108" s="245">
        <v>2.9</v>
      </c>
      <c r="C108" s="245">
        <v>1.63</v>
      </c>
      <c r="D108" s="245">
        <f t="shared" si="5"/>
        <v>1.27</v>
      </c>
      <c r="E108" s="245">
        <v>0.86</v>
      </c>
      <c r="F108" s="71">
        <v>14.49</v>
      </c>
      <c r="G108" s="36">
        <v>0</v>
      </c>
      <c r="H108" s="245">
        <v>2.9</v>
      </c>
    </row>
    <row r="109" spans="1:8" ht="21.75" customHeight="1">
      <c r="A109" s="45" t="s">
        <v>702</v>
      </c>
      <c r="B109" s="246">
        <f>SUM(B101:B108)</f>
        <v>18.259999999999998</v>
      </c>
      <c r="C109" s="246">
        <f>SUM(C101:C108)</f>
        <v>4.43</v>
      </c>
      <c r="D109" s="246">
        <f t="shared" si="5"/>
        <v>13.829999999999998</v>
      </c>
      <c r="E109" s="246">
        <f>SUM(E101:E108)</f>
        <v>52.36</v>
      </c>
      <c r="F109" s="246">
        <f>SUM(F101:F108)</f>
        <v>24.990000000000002</v>
      </c>
      <c r="G109" s="246">
        <f>SUM(G101:G108)</f>
        <v>26.6</v>
      </c>
      <c r="H109" s="246">
        <f>SUM(H101:H108)</f>
        <v>15.36</v>
      </c>
    </row>
    <row r="110" spans="1:8" ht="21.75" customHeight="1">
      <c r="A110" s="30" t="s">
        <v>936</v>
      </c>
      <c r="B110" s="30"/>
      <c r="C110" s="30"/>
      <c r="D110" s="30"/>
      <c r="E110" s="279"/>
      <c r="F110" s="279"/>
      <c r="G110" s="279"/>
      <c r="H110" s="19"/>
    </row>
    <row r="111" spans="1:8" ht="21.75" customHeight="1"/>
    <row r="112" spans="1:8" ht="21.75" customHeight="1">
      <c r="A112" s="134" t="s">
        <v>947</v>
      </c>
      <c r="B112" s="134"/>
      <c r="C112" s="134"/>
      <c r="D112" s="134"/>
      <c r="E112" s="134"/>
      <c r="F112" s="134"/>
      <c r="G112" s="134"/>
    </row>
    <row r="113" spans="1:7" ht="21.75" customHeight="1">
      <c r="A113" s="740" t="s">
        <v>948</v>
      </c>
      <c r="B113" s="685"/>
      <c r="C113" s="685"/>
      <c r="D113" s="685"/>
      <c r="E113" s="685"/>
      <c r="F113" s="685"/>
      <c r="G113" s="685"/>
    </row>
    <row r="114" spans="1:7" ht="21.75" customHeight="1">
      <c r="A114" s="740" t="s">
        <v>949</v>
      </c>
      <c r="B114" s="685"/>
      <c r="C114" s="685"/>
      <c r="D114" s="685"/>
      <c r="E114" s="685"/>
      <c r="F114" s="685"/>
      <c r="G114" s="685"/>
    </row>
    <row r="115" spans="1:7" ht="21.75" customHeight="1"/>
    <row r="116" spans="1:7" ht="33.25" customHeight="1">
      <c r="A116" s="134" t="s">
        <v>950</v>
      </c>
      <c r="B116" s="177"/>
      <c r="C116" s="177"/>
      <c r="D116" s="177"/>
      <c r="E116" s="177"/>
      <c r="F116" s="177"/>
      <c r="G116" s="177"/>
    </row>
    <row r="117" spans="1:7" ht="21.75" customHeight="1">
      <c r="A117" s="134" t="s">
        <v>651</v>
      </c>
      <c r="B117" s="135">
        <v>2023</v>
      </c>
      <c r="C117" s="135">
        <v>2022</v>
      </c>
      <c r="D117" s="135">
        <v>2021</v>
      </c>
      <c r="E117" s="135">
        <v>2020</v>
      </c>
      <c r="F117" s="135">
        <v>2019</v>
      </c>
      <c r="G117" s="135">
        <v>2018</v>
      </c>
    </row>
    <row r="118" spans="1:7" ht="21.75" customHeight="1">
      <c r="A118" s="21" t="s">
        <v>928</v>
      </c>
      <c r="B118" s="272">
        <v>1</v>
      </c>
      <c r="C118" s="223">
        <v>1</v>
      </c>
      <c r="D118" s="223">
        <v>1</v>
      </c>
      <c r="E118" s="223">
        <v>1</v>
      </c>
      <c r="F118" s="223">
        <v>1</v>
      </c>
      <c r="G118" s="223">
        <v>1</v>
      </c>
    </row>
    <row r="119" spans="1:7" ht="21.75" customHeight="1">
      <c r="A119" s="21" t="s">
        <v>640</v>
      </c>
      <c r="B119" s="272">
        <v>1</v>
      </c>
      <c r="C119" s="223">
        <v>1</v>
      </c>
      <c r="D119" s="223">
        <v>1</v>
      </c>
      <c r="E119" s="223">
        <v>1</v>
      </c>
      <c r="F119" s="223">
        <v>1</v>
      </c>
      <c r="G119" s="223">
        <v>1</v>
      </c>
    </row>
    <row r="120" spans="1:7" ht="21.75" customHeight="1">
      <c r="A120" s="155" t="s">
        <v>589</v>
      </c>
      <c r="B120" s="273">
        <v>0.06</v>
      </c>
      <c r="C120" s="225">
        <v>7.0000000000000007E-2</v>
      </c>
      <c r="D120" s="225">
        <v>7.0000000000000007E-2</v>
      </c>
      <c r="E120" s="225">
        <v>0.05</v>
      </c>
      <c r="F120" s="274">
        <v>8.3405631358939997E-2</v>
      </c>
      <c r="G120" s="274">
        <v>6.7092650424790595E-2</v>
      </c>
    </row>
    <row r="121" spans="1:7" ht="21.75" customHeight="1">
      <c r="A121" s="30" t="s">
        <v>936</v>
      </c>
      <c r="B121" s="30"/>
      <c r="C121" s="30"/>
      <c r="D121" s="30"/>
      <c r="E121" s="30"/>
      <c r="F121" s="30"/>
      <c r="G121" s="30"/>
    </row>
    <row r="122" spans="1:7" ht="21.75" customHeight="1"/>
    <row r="123" spans="1:7" ht="21.75" customHeight="1">
      <c r="A123" s="745" t="s">
        <v>951</v>
      </c>
      <c r="B123" s="745"/>
      <c r="C123" s="745"/>
      <c r="D123" s="745"/>
      <c r="E123" s="745"/>
      <c r="F123" s="745"/>
    </row>
    <row r="124" spans="1:7" ht="21.75" customHeight="1">
      <c r="A124" s="134" t="s">
        <v>651</v>
      </c>
      <c r="B124" s="135">
        <v>2023</v>
      </c>
      <c r="C124" s="135">
        <v>2022</v>
      </c>
      <c r="D124" s="135">
        <v>2021</v>
      </c>
      <c r="E124" s="135">
        <v>2020</v>
      </c>
      <c r="F124" s="135">
        <v>2019</v>
      </c>
    </row>
    <row r="125" spans="1:7" ht="21.75" customHeight="1">
      <c r="A125" s="21" t="s">
        <v>928</v>
      </c>
      <c r="B125" s="267">
        <f>B75/B80</f>
        <v>0.22551252847380407</v>
      </c>
      <c r="C125" s="267">
        <f>C75/C80</f>
        <v>0.20823529411764707</v>
      </c>
      <c r="D125" s="228">
        <v>0.17</v>
      </c>
      <c r="E125" s="228">
        <v>0.16</v>
      </c>
      <c r="F125" s="228">
        <v>0.23</v>
      </c>
    </row>
    <row r="126" spans="1:7" ht="21.75" customHeight="1">
      <c r="A126" s="21" t="s">
        <v>640</v>
      </c>
      <c r="B126" s="267">
        <f>B79/B80</f>
        <v>0.33257403189066054</v>
      </c>
      <c r="C126" s="267">
        <f>C79/C80</f>
        <v>0.35882352941176471</v>
      </c>
      <c r="D126" s="228">
        <v>0.4</v>
      </c>
      <c r="E126" s="228">
        <v>0.28999999999999998</v>
      </c>
      <c r="F126" s="228">
        <v>0.3</v>
      </c>
    </row>
    <row r="127" spans="1:7" ht="21.75" customHeight="1">
      <c r="A127" s="25" t="s">
        <v>589</v>
      </c>
      <c r="B127" s="275">
        <f>B70/B80</f>
        <v>0.11958997722095671</v>
      </c>
      <c r="C127" s="275">
        <f>C70/C80</f>
        <v>9.1764705882352943E-2</v>
      </c>
      <c r="D127" s="87">
        <v>0.08</v>
      </c>
      <c r="E127" s="87">
        <v>0.06</v>
      </c>
      <c r="F127" s="87">
        <v>0.05</v>
      </c>
    </row>
    <row r="128" spans="1:7" ht="21.75" customHeight="1">
      <c r="A128" s="45" t="s">
        <v>702</v>
      </c>
      <c r="B128" s="252">
        <v>0.68</v>
      </c>
      <c r="C128" s="252">
        <v>0.66</v>
      </c>
      <c r="D128" s="252">
        <v>0.65</v>
      </c>
      <c r="E128" s="252">
        <v>0.51</v>
      </c>
      <c r="F128" s="252">
        <v>0.57999999999999996</v>
      </c>
    </row>
    <row r="129" spans="1:7" ht="21.75" customHeight="1">
      <c r="A129" s="19"/>
      <c r="B129" s="19"/>
      <c r="C129" s="19"/>
      <c r="D129" s="19"/>
      <c r="E129" s="19"/>
      <c r="F129" s="19"/>
    </row>
    <row r="130" spans="1:7" ht="21.75" customHeight="1">
      <c r="A130" s="134" t="s">
        <v>952</v>
      </c>
      <c r="B130" s="135">
        <v>2023</v>
      </c>
      <c r="C130" s="135">
        <v>2022</v>
      </c>
      <c r="D130" s="135">
        <v>2021</v>
      </c>
      <c r="E130" s="135">
        <v>2020</v>
      </c>
      <c r="F130" s="135">
        <v>2019</v>
      </c>
      <c r="G130" s="135">
        <v>2018</v>
      </c>
    </row>
    <row r="131" spans="1:7" ht="21.75" customHeight="1">
      <c r="A131" s="21" t="s">
        <v>953</v>
      </c>
      <c r="B131" s="116">
        <v>0.96</v>
      </c>
      <c r="C131" s="116">
        <v>0.81</v>
      </c>
      <c r="D131" s="206">
        <v>2.3359999999999999</v>
      </c>
      <c r="E131" s="206">
        <v>2.536</v>
      </c>
      <c r="F131" s="206">
        <v>2.9915368400000002</v>
      </c>
      <c r="G131" s="206">
        <v>1.98222031</v>
      </c>
    </row>
    <row r="132" spans="1:7" ht="21.75" customHeight="1">
      <c r="A132" s="21" t="s">
        <v>954</v>
      </c>
      <c r="B132" s="116">
        <v>13.22</v>
      </c>
      <c r="C132" s="116">
        <v>13.32</v>
      </c>
      <c r="D132" s="206">
        <v>11.67</v>
      </c>
      <c r="E132" s="206">
        <v>6.4</v>
      </c>
      <c r="F132" s="206">
        <v>7.8029124100000002</v>
      </c>
      <c r="G132" s="206">
        <v>13.180007140000001</v>
      </c>
    </row>
    <row r="133" spans="1:7" ht="21.75" customHeight="1">
      <c r="A133" s="21" t="s">
        <v>955</v>
      </c>
      <c r="B133" s="116">
        <v>15.92</v>
      </c>
      <c r="C133" s="116">
        <v>15.67</v>
      </c>
      <c r="D133" s="206">
        <v>13.7</v>
      </c>
      <c r="E133" s="206">
        <v>10.226000000000001</v>
      </c>
      <c r="F133" s="206">
        <v>11.66869885</v>
      </c>
      <c r="G133" s="206">
        <v>14.1210854</v>
      </c>
    </row>
    <row r="134" spans="1:7" ht="21.75" customHeight="1">
      <c r="A134" s="21" t="s">
        <v>956</v>
      </c>
      <c r="B134" s="116">
        <v>0.36</v>
      </c>
      <c r="C134" s="116">
        <v>0.24</v>
      </c>
      <c r="D134" s="206">
        <v>3.02</v>
      </c>
      <c r="E134" s="206">
        <v>4.78</v>
      </c>
      <c r="F134" s="206">
        <v>3.7266347799999999</v>
      </c>
      <c r="G134" s="206">
        <v>1.68137727</v>
      </c>
    </row>
    <row r="135" spans="1:7" ht="21.75" customHeight="1">
      <c r="A135" s="21" t="s">
        <v>957</v>
      </c>
      <c r="B135" s="116">
        <v>2.79</v>
      </c>
      <c r="C135" s="116">
        <v>3.34</v>
      </c>
      <c r="D135" s="206">
        <v>0.34</v>
      </c>
      <c r="E135" s="206">
        <v>0.35899999999999999</v>
      </c>
      <c r="F135" s="206">
        <v>0.43439161999999998</v>
      </c>
      <c r="G135" s="206">
        <v>0.29444352000000001</v>
      </c>
    </row>
    <row r="136" spans="1:7" ht="21.75" customHeight="1">
      <c r="A136" s="21" t="s">
        <v>958</v>
      </c>
      <c r="B136" s="35">
        <v>0</v>
      </c>
      <c r="C136" s="35">
        <v>0</v>
      </c>
      <c r="D136" s="206">
        <v>0</v>
      </c>
      <c r="E136" s="206">
        <v>0</v>
      </c>
      <c r="F136" s="206">
        <v>0</v>
      </c>
      <c r="G136" s="206">
        <v>0</v>
      </c>
    </row>
    <row r="137" spans="1:7" ht="21.75" customHeight="1">
      <c r="A137" s="21" t="s">
        <v>959</v>
      </c>
      <c r="B137" s="35">
        <v>0</v>
      </c>
      <c r="C137" s="35">
        <v>0</v>
      </c>
      <c r="D137" s="206">
        <v>0</v>
      </c>
      <c r="E137" s="206">
        <v>0</v>
      </c>
      <c r="F137" s="206">
        <v>0</v>
      </c>
      <c r="G137" s="206">
        <v>0</v>
      </c>
    </row>
    <row r="138" spans="1:7" ht="21.75" customHeight="1">
      <c r="A138" s="21" t="s">
        <v>960</v>
      </c>
      <c r="B138" s="35">
        <v>0</v>
      </c>
      <c r="C138" s="35">
        <v>0</v>
      </c>
      <c r="D138" s="206">
        <v>0</v>
      </c>
      <c r="E138" s="206">
        <v>0</v>
      </c>
      <c r="F138" s="206">
        <v>1.0476839999999999E-2</v>
      </c>
      <c r="G138" s="206">
        <v>0.18879299999999999</v>
      </c>
    </row>
    <row r="139" spans="1:7" ht="21.75" customHeight="1">
      <c r="A139" s="21" t="s">
        <v>961</v>
      </c>
      <c r="B139" s="116">
        <v>33.24</v>
      </c>
      <c r="C139" s="116">
        <v>33.39</v>
      </c>
      <c r="D139" s="206">
        <v>31.08</v>
      </c>
      <c r="E139" s="206">
        <f>SUM(E131:E138)</f>
        <v>24.301000000000002</v>
      </c>
      <c r="F139" s="206">
        <f>SUM(F131:F138)</f>
        <v>26.634651339999998</v>
      </c>
      <c r="G139" s="206">
        <f>SUM(G131:G138)</f>
        <v>31.447926640000002</v>
      </c>
    </row>
    <row r="140" spans="1:7" ht="21.75" customHeight="1">
      <c r="A140" s="25" t="s">
        <v>962</v>
      </c>
      <c r="B140" s="71">
        <v>13.34</v>
      </c>
      <c r="C140" s="71">
        <v>3.3</v>
      </c>
      <c r="D140" s="250">
        <v>0.40300000000000002</v>
      </c>
      <c r="E140" s="250">
        <v>0.93100000000000005</v>
      </c>
      <c r="F140" s="250">
        <v>4.9760000000000004E-3</v>
      </c>
      <c r="G140" s="250">
        <v>0.20215900000000001</v>
      </c>
    </row>
    <row r="141" spans="1:7" ht="21.75" customHeight="1">
      <c r="A141" s="45" t="s">
        <v>963</v>
      </c>
      <c r="B141" s="249">
        <f>SUM(B139:B140)</f>
        <v>46.58</v>
      </c>
      <c r="C141" s="259">
        <v>36.72</v>
      </c>
      <c r="D141" s="260">
        <f>SUM(D139:D140)</f>
        <v>31.482999999999997</v>
      </c>
      <c r="E141" s="260">
        <f>SUM(E139:E140)</f>
        <v>25.232000000000003</v>
      </c>
      <c r="F141" s="260">
        <f>SUM(F139:F140)</f>
        <v>26.639627339999997</v>
      </c>
      <c r="G141" s="260">
        <f>SUM(G139:G140)</f>
        <v>31.650085640000004</v>
      </c>
    </row>
    <row r="142" spans="1:7">
      <c r="A142" s="44"/>
      <c r="B142" s="44"/>
      <c r="C142" s="44"/>
      <c r="D142" s="44"/>
      <c r="E142" s="44"/>
      <c r="F142" s="44"/>
      <c r="G142" s="44"/>
    </row>
  </sheetData>
  <sheetProtection algorithmName="SHA-512" hashValue="FyYDOo7ymC6N+e2dLhpwhiiFrTGlAZT3X/kCaNhFdCfp8oLoVI5Qcdqhp7sVO7PJEHOIVAe8n0BcglgUpnsyvA==" saltValue="UpBtjmR9DvkW/w9OjhlDig==" spinCount="100000" sheet="1" objects="1" scenarios="1"/>
  <mergeCells count="3">
    <mergeCell ref="A114:G114"/>
    <mergeCell ref="A113:G113"/>
    <mergeCell ref="A123:F12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49"/>
  <sheetViews>
    <sheetView showGridLines="0" showRuler="0" workbookViewId="0"/>
  </sheetViews>
  <sheetFormatPr baseColWidth="10" defaultColWidth="12.83203125" defaultRowHeight="13"/>
  <cols>
    <col min="1" max="1" width="55.1640625" customWidth="1"/>
    <col min="2" max="2" width="15.1640625" customWidth="1"/>
    <col min="3" max="3" width="16.33203125" customWidth="1"/>
    <col min="4" max="9" width="14.33203125" customWidth="1"/>
    <col min="10" max="10" width="0" hidden="1"/>
  </cols>
  <sheetData>
    <row r="1" spans="1:10" ht="21.75" customHeight="1">
      <c r="A1" s="134" t="s">
        <v>964</v>
      </c>
      <c r="B1" s="134"/>
      <c r="C1" s="134"/>
      <c r="D1" s="134"/>
      <c r="E1" s="134"/>
      <c r="F1" s="134"/>
      <c r="G1" s="134"/>
    </row>
    <row r="2" spans="1:10" ht="21.75" customHeight="1"/>
    <row r="3" spans="1:10" ht="21.75" customHeight="1">
      <c r="A3" s="134" t="s">
        <v>965</v>
      </c>
      <c r="B3" s="135">
        <v>2023</v>
      </c>
      <c r="C3" s="135">
        <v>2022</v>
      </c>
      <c r="D3" s="135">
        <v>2021</v>
      </c>
      <c r="E3" s="135">
        <v>2020</v>
      </c>
      <c r="F3" s="135">
        <v>2019</v>
      </c>
      <c r="G3" s="135">
        <v>2018</v>
      </c>
      <c r="J3" s="135">
        <v>2015</v>
      </c>
    </row>
    <row r="4" spans="1:10" ht="21.75" customHeight="1">
      <c r="A4" s="21" t="s">
        <v>966</v>
      </c>
      <c r="B4" s="206">
        <v>3</v>
      </c>
      <c r="C4" s="116">
        <v>3.7</v>
      </c>
      <c r="D4" s="206">
        <v>2.98</v>
      </c>
      <c r="E4" s="206">
        <v>2.9854666385148998</v>
      </c>
      <c r="F4" s="280">
        <v>3.18</v>
      </c>
      <c r="G4" s="116">
        <v>2.86</v>
      </c>
      <c r="J4" s="281">
        <v>5</v>
      </c>
    </row>
    <row r="5" spans="1:10" ht="21.75" customHeight="1">
      <c r="A5" s="21" t="s">
        <v>967</v>
      </c>
      <c r="B5" s="116">
        <v>0.03</v>
      </c>
      <c r="C5" s="116">
        <v>0.44</v>
      </c>
      <c r="D5" s="206">
        <v>0.06</v>
      </c>
      <c r="E5" s="206">
        <v>7.048655694E-2</v>
      </c>
      <c r="F5" s="206">
        <v>0.05</v>
      </c>
      <c r="G5" s="116">
        <v>0.13</v>
      </c>
      <c r="J5" s="282">
        <v>0.44</v>
      </c>
    </row>
    <row r="6" spans="1:10" ht="21.75" customHeight="1">
      <c r="A6" s="21" t="s">
        <v>968</v>
      </c>
      <c r="B6" s="116">
        <v>1.02</v>
      </c>
      <c r="C6" s="116">
        <v>0.74</v>
      </c>
      <c r="D6" s="206">
        <v>1.17</v>
      </c>
      <c r="E6" s="206">
        <v>0.66950548232100004</v>
      </c>
      <c r="F6" s="206">
        <v>0.66</v>
      </c>
      <c r="G6" s="116">
        <v>0.33</v>
      </c>
      <c r="J6" s="282">
        <v>0.85</v>
      </c>
    </row>
    <row r="7" spans="1:10" ht="21.75" customHeight="1">
      <c r="A7" s="21" t="s">
        <v>969</v>
      </c>
      <c r="B7" s="116">
        <v>7.42</v>
      </c>
      <c r="C7" s="116">
        <v>2.84</v>
      </c>
      <c r="D7" s="206">
        <v>9.94</v>
      </c>
      <c r="E7" s="206">
        <v>5.0884760219618999</v>
      </c>
      <c r="F7" s="206">
        <v>3.67</v>
      </c>
      <c r="G7" s="116">
        <v>2.67</v>
      </c>
      <c r="J7" s="282">
        <v>4.3</v>
      </c>
    </row>
    <row r="8" spans="1:10" ht="21.75" customHeight="1">
      <c r="A8" s="21" t="s">
        <v>970</v>
      </c>
      <c r="B8" s="116">
        <v>1.19</v>
      </c>
      <c r="C8" s="116">
        <v>0.91</v>
      </c>
      <c r="D8" s="206">
        <v>1.06</v>
      </c>
      <c r="E8" s="206">
        <v>1.1261559751487</v>
      </c>
      <c r="F8" s="206">
        <v>1.1100000000000001</v>
      </c>
      <c r="G8" s="116">
        <v>0.94</v>
      </c>
      <c r="J8" s="281">
        <v>3</v>
      </c>
    </row>
    <row r="9" spans="1:10" ht="21.75" customHeight="1">
      <c r="A9" s="25" t="s">
        <v>971</v>
      </c>
      <c r="B9" s="71">
        <v>0.48</v>
      </c>
      <c r="C9" s="71">
        <v>0.5</v>
      </c>
      <c r="D9" s="250">
        <v>0.33</v>
      </c>
      <c r="E9" s="250">
        <v>0.84399977885830402</v>
      </c>
      <c r="F9" s="250">
        <v>0.47</v>
      </c>
      <c r="G9" s="71">
        <v>0.68</v>
      </c>
    </row>
    <row r="10" spans="1:10" ht="21.75" customHeight="1">
      <c r="A10" s="45" t="s">
        <v>972</v>
      </c>
      <c r="B10" s="249">
        <f>SUM(B4:B9)</f>
        <v>13.139999999999999</v>
      </c>
      <c r="C10" s="259">
        <f>SUM(C4:C9)</f>
        <v>9.1300000000000008</v>
      </c>
      <c r="D10" s="260">
        <f>SUM(D4:D9)</f>
        <v>15.54</v>
      </c>
      <c r="E10" s="260">
        <f>SUM(E4:E9)</f>
        <v>10.784090453744804</v>
      </c>
      <c r="F10" s="260">
        <v>9.14</v>
      </c>
      <c r="G10" s="259">
        <f>SUM(G4:G9)</f>
        <v>7.6099999999999994</v>
      </c>
      <c r="J10" s="283">
        <f>SUM(J4:J9)</f>
        <v>13.59</v>
      </c>
    </row>
    <row r="11" spans="1:10" ht="21.75" customHeight="1">
      <c r="A11" s="19"/>
      <c r="B11" s="19"/>
      <c r="C11" s="19"/>
      <c r="D11" s="115"/>
      <c r="E11" s="115"/>
      <c r="F11" s="131"/>
      <c r="G11" s="19"/>
      <c r="J11" s="19"/>
    </row>
    <row r="12" spans="1:10" ht="21.75" customHeight="1">
      <c r="A12" s="134" t="s">
        <v>973</v>
      </c>
      <c r="B12" s="135">
        <v>2023</v>
      </c>
      <c r="C12" s="135">
        <v>2022</v>
      </c>
      <c r="D12" s="135">
        <v>2021</v>
      </c>
      <c r="E12" s="135">
        <v>2020</v>
      </c>
      <c r="F12" s="135">
        <v>2019</v>
      </c>
      <c r="G12" s="135">
        <v>2018</v>
      </c>
      <c r="J12" s="106"/>
    </row>
    <row r="13" spans="1:10" ht="21.75" customHeight="1">
      <c r="A13" s="21" t="s">
        <v>974</v>
      </c>
      <c r="B13" s="206">
        <v>7.6</v>
      </c>
      <c r="C13" s="24" t="s">
        <v>975</v>
      </c>
      <c r="D13" s="206">
        <v>3.23</v>
      </c>
      <c r="E13" s="206">
        <v>2.36</v>
      </c>
      <c r="F13" s="206">
        <v>3.12</v>
      </c>
      <c r="G13" s="206">
        <v>3.3</v>
      </c>
      <c r="I13" s="43"/>
    </row>
    <row r="14" spans="1:10" ht="21.75" customHeight="1">
      <c r="A14" s="21" t="s">
        <v>976</v>
      </c>
      <c r="B14" s="116">
        <v>13.34</v>
      </c>
      <c r="C14" s="206">
        <v>3.3</v>
      </c>
      <c r="D14" s="206">
        <v>0.40300000000000002</v>
      </c>
      <c r="E14" s="206">
        <v>0.93</v>
      </c>
      <c r="F14" s="206">
        <v>0.41</v>
      </c>
      <c r="G14" s="206">
        <v>0.6</v>
      </c>
    </row>
    <row r="15" spans="1:10" ht="21.75" customHeight="1">
      <c r="A15" s="284" t="s">
        <v>609</v>
      </c>
      <c r="B15" s="235">
        <f>SUM(B13,B14)</f>
        <v>20.939999999999998</v>
      </c>
      <c r="C15" s="236">
        <v>48.18</v>
      </c>
      <c r="D15" s="207">
        <f>SUM(D13:D14)</f>
        <v>3.633</v>
      </c>
      <c r="E15" s="207">
        <f>SUM(E13:E14)</f>
        <v>3.29</v>
      </c>
      <c r="F15" s="207">
        <f>SUM(F13:F14)</f>
        <v>3.5300000000000002</v>
      </c>
      <c r="G15" s="207">
        <f>SUM(G13:G14)</f>
        <v>3.9</v>
      </c>
    </row>
    <row r="16" spans="1:10" ht="21.75" customHeight="1">
      <c r="A16" s="738" t="s">
        <v>977</v>
      </c>
      <c r="B16" s="738"/>
      <c r="C16" s="19"/>
      <c r="D16" s="19"/>
      <c r="E16" s="19"/>
      <c r="F16" s="19"/>
      <c r="G16" s="19"/>
    </row>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sheetData>
  <sheetProtection algorithmName="SHA-512" hashValue="FMtoXMydBVCJk6hWIodwYAGQhtNxmaCmHOB5a3z1pG3lZSx+7SW0ox6u+tbCRRQXR7qpZtTW8BtlhPWeFVR6Qw==" saltValue="JgP+6fTHjsyqql36Zrwkqg==" spinCount="100000" sheet="1" objects="1" scenarios="1"/>
  <mergeCells count="1">
    <mergeCell ref="A16:B16"/>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50"/>
  <sheetViews>
    <sheetView showGridLines="0" showRuler="0" workbookViewId="0">
      <selection activeCell="J9" sqref="J9"/>
    </sheetView>
  </sheetViews>
  <sheetFormatPr baseColWidth="10" defaultColWidth="12.83203125" defaultRowHeight="13"/>
  <cols>
    <col min="1" max="1" width="65.83203125" customWidth="1"/>
    <col min="2" max="2" width="15.83203125" customWidth="1"/>
    <col min="3" max="3" width="11.1640625" customWidth="1"/>
    <col min="4" max="7" width="14.33203125" customWidth="1"/>
  </cols>
  <sheetData>
    <row r="1" spans="1:7" ht="21.75" customHeight="1">
      <c r="A1" s="134" t="s">
        <v>978</v>
      </c>
      <c r="B1" s="134"/>
      <c r="C1" s="134"/>
      <c r="D1" s="134"/>
      <c r="E1" s="134"/>
      <c r="F1" s="134"/>
      <c r="G1" s="134"/>
    </row>
    <row r="2" spans="1:7" ht="21.75" customHeight="1"/>
    <row r="3" spans="1:7" ht="21.75" customHeight="1">
      <c r="A3" s="134" t="s">
        <v>979</v>
      </c>
      <c r="B3" s="135">
        <v>2023</v>
      </c>
      <c r="C3" s="135">
        <v>2022</v>
      </c>
      <c r="D3" s="135">
        <v>2021</v>
      </c>
      <c r="E3" s="135">
        <v>2020</v>
      </c>
      <c r="F3" s="135">
        <v>2019</v>
      </c>
      <c r="G3" s="135">
        <v>2018</v>
      </c>
    </row>
    <row r="4" spans="1:7" ht="21.75" customHeight="1">
      <c r="A4" s="21" t="s">
        <v>980</v>
      </c>
      <c r="B4" s="117">
        <v>51.5</v>
      </c>
      <c r="C4" s="117">
        <v>56.76</v>
      </c>
      <c r="D4" s="117">
        <v>58.07</v>
      </c>
      <c r="E4" s="269">
        <v>49.55</v>
      </c>
      <c r="F4" s="269">
        <v>52.4</v>
      </c>
      <c r="G4" s="269">
        <v>50.8</v>
      </c>
    </row>
    <row r="5" spans="1:7" ht="21.75" customHeight="1">
      <c r="A5" s="21" t="s">
        <v>981</v>
      </c>
      <c r="B5" s="117">
        <v>1.99</v>
      </c>
      <c r="C5" s="117">
        <v>2.1</v>
      </c>
      <c r="D5" s="117">
        <v>2.17</v>
      </c>
      <c r="E5" s="269">
        <v>1.84</v>
      </c>
      <c r="F5" s="269">
        <v>1.5</v>
      </c>
      <c r="G5" s="269">
        <v>1.3</v>
      </c>
    </row>
    <row r="6" spans="1:7" ht="21.75" customHeight="1">
      <c r="A6" s="21" t="s">
        <v>982</v>
      </c>
      <c r="B6" s="117">
        <v>67.3</v>
      </c>
      <c r="C6" s="117">
        <v>70.87</v>
      </c>
      <c r="D6" s="117">
        <v>71.680000000000007</v>
      </c>
      <c r="E6" s="269">
        <v>75.89</v>
      </c>
      <c r="F6" s="269">
        <v>76.7</v>
      </c>
      <c r="G6" s="269">
        <v>68.400000000000006</v>
      </c>
    </row>
    <row r="7" spans="1:7" ht="21.75" customHeight="1">
      <c r="A7" s="21" t="s">
        <v>983</v>
      </c>
      <c r="B7" s="117">
        <v>74.69</v>
      </c>
      <c r="C7" s="117">
        <v>65.28</v>
      </c>
      <c r="D7" s="117">
        <v>35.69</v>
      </c>
      <c r="E7" s="269">
        <v>36.090000000000003</v>
      </c>
      <c r="F7" s="269">
        <v>31.4</v>
      </c>
      <c r="G7" s="269">
        <v>39.200000000000003</v>
      </c>
    </row>
    <row r="8" spans="1:7" ht="21.75" customHeight="1">
      <c r="A8" s="21" t="s">
        <v>984</v>
      </c>
      <c r="B8" s="117">
        <v>6.39</v>
      </c>
      <c r="C8" s="117">
        <v>6.51</v>
      </c>
      <c r="D8" s="117">
        <v>5.73</v>
      </c>
      <c r="E8" s="269">
        <v>5.01</v>
      </c>
      <c r="F8" s="269">
        <v>4.7</v>
      </c>
      <c r="G8" s="269">
        <v>4.5999999999999996</v>
      </c>
    </row>
    <row r="9" spans="1:7" ht="21.75" customHeight="1">
      <c r="A9" s="155" t="s">
        <v>985</v>
      </c>
      <c r="B9" s="285">
        <v>9.48</v>
      </c>
      <c r="C9" s="285">
        <v>9.36</v>
      </c>
      <c r="D9" s="285">
        <v>9.49</v>
      </c>
      <c r="E9" s="286">
        <v>10.39</v>
      </c>
      <c r="F9" s="286">
        <v>8.6</v>
      </c>
      <c r="G9" s="286">
        <v>7.5</v>
      </c>
    </row>
    <row r="10" spans="1:7" ht="21.75" customHeight="1">
      <c r="A10" s="19"/>
      <c r="B10" s="19"/>
      <c r="C10" s="19"/>
      <c r="D10" s="115"/>
      <c r="E10" s="131"/>
      <c r="F10" s="131"/>
      <c r="G10" s="131"/>
    </row>
    <row r="11" spans="1:7" ht="21.75" customHeight="1">
      <c r="A11" s="134" t="s">
        <v>986</v>
      </c>
      <c r="B11" s="135">
        <v>2023</v>
      </c>
      <c r="C11" s="135">
        <v>2022</v>
      </c>
      <c r="D11" s="135">
        <v>2021</v>
      </c>
      <c r="E11" s="135">
        <v>2020</v>
      </c>
      <c r="F11" s="135">
        <v>2019</v>
      </c>
      <c r="G11" s="135">
        <v>2018</v>
      </c>
    </row>
    <row r="12" spans="1:7" ht="21.75" customHeight="1">
      <c r="A12" s="21" t="s">
        <v>987</v>
      </c>
      <c r="B12" s="35">
        <v>8</v>
      </c>
      <c r="C12" s="35">
        <v>10</v>
      </c>
      <c r="D12" s="35">
        <v>7</v>
      </c>
      <c r="E12" s="35">
        <v>12</v>
      </c>
      <c r="F12" s="20">
        <v>37</v>
      </c>
      <c r="G12" s="20">
        <v>68</v>
      </c>
    </row>
    <row r="13" spans="1:7" ht="21.75" customHeight="1">
      <c r="A13" s="21" t="s">
        <v>988</v>
      </c>
      <c r="B13" s="35">
        <v>0</v>
      </c>
      <c r="C13" s="35">
        <v>0</v>
      </c>
      <c r="D13" s="35">
        <v>0</v>
      </c>
      <c r="E13" s="35">
        <v>0</v>
      </c>
      <c r="F13" s="20">
        <v>0</v>
      </c>
      <c r="G13" s="20">
        <v>2</v>
      </c>
    </row>
    <row r="14" spans="1:7" ht="21.75" customHeight="1">
      <c r="A14" s="21" t="s">
        <v>989</v>
      </c>
      <c r="B14" s="35">
        <v>0</v>
      </c>
      <c r="C14" s="35">
        <v>0</v>
      </c>
      <c r="D14" s="35">
        <v>0</v>
      </c>
      <c r="E14" s="35">
        <v>0</v>
      </c>
      <c r="F14" s="20">
        <v>0</v>
      </c>
      <c r="G14" s="20">
        <v>0</v>
      </c>
    </row>
    <row r="15" spans="1:7" ht="21.75" customHeight="1">
      <c r="A15" s="73" t="s">
        <v>990</v>
      </c>
      <c r="B15" s="74">
        <v>0</v>
      </c>
      <c r="C15" s="74">
        <v>0</v>
      </c>
      <c r="D15" s="74">
        <v>0</v>
      </c>
      <c r="E15" s="74">
        <v>0</v>
      </c>
      <c r="F15" s="75">
        <v>0</v>
      </c>
      <c r="G15" s="75">
        <v>0</v>
      </c>
    </row>
    <row r="16" spans="1:7" ht="21.75" customHeight="1">
      <c r="A16" s="287" t="s">
        <v>991</v>
      </c>
      <c r="B16" s="288">
        <v>0</v>
      </c>
      <c r="C16" s="289">
        <v>0</v>
      </c>
      <c r="D16" s="289">
        <v>0</v>
      </c>
      <c r="E16" s="289">
        <v>0</v>
      </c>
      <c r="F16" s="290">
        <v>0</v>
      </c>
      <c r="G16" s="290">
        <v>2</v>
      </c>
    </row>
    <row r="17" spans="1:9" ht="13.25" customHeight="1">
      <c r="A17" s="19"/>
      <c r="B17" s="19"/>
      <c r="C17" s="19"/>
      <c r="D17" s="19"/>
      <c r="E17" s="19"/>
      <c r="F17" s="19"/>
      <c r="G17" s="19"/>
    </row>
    <row r="18" spans="1:9" ht="30" customHeight="1">
      <c r="A18" s="745" t="s">
        <v>992</v>
      </c>
      <c r="B18" s="745"/>
      <c r="C18" s="745"/>
      <c r="D18" s="745"/>
      <c r="E18" s="745"/>
      <c r="F18" s="745"/>
    </row>
    <row r="19" spans="1:9" ht="21.75" customHeight="1">
      <c r="A19" s="745" t="s">
        <v>993</v>
      </c>
      <c r="B19" s="745"/>
      <c r="C19" s="745"/>
      <c r="D19" s="745"/>
      <c r="E19" s="745"/>
      <c r="F19" s="745"/>
    </row>
    <row r="20" spans="1:9" ht="25.75" customHeight="1">
      <c r="A20" s="740" t="s">
        <v>994</v>
      </c>
      <c r="B20" s="685"/>
      <c r="C20" s="685"/>
      <c r="D20" s="685"/>
      <c r="E20" s="685"/>
      <c r="F20" s="685"/>
      <c r="G20" s="685"/>
      <c r="H20" s="685"/>
      <c r="I20" s="685"/>
    </row>
    <row r="21" spans="1:9" ht="21.75" customHeight="1">
      <c r="A21" s="740" t="s">
        <v>995</v>
      </c>
      <c r="B21" s="685"/>
      <c r="C21" s="685"/>
      <c r="D21" s="685"/>
      <c r="E21" s="685"/>
      <c r="F21" s="685"/>
      <c r="G21" s="685"/>
      <c r="H21" s="685"/>
      <c r="I21" s="685"/>
    </row>
    <row r="22" spans="1:9" ht="21.75" customHeight="1">
      <c r="A22" s="740" t="s">
        <v>996</v>
      </c>
      <c r="B22" s="685"/>
      <c r="C22" s="685"/>
      <c r="D22" s="685"/>
      <c r="E22" s="685"/>
      <c r="F22" s="685"/>
      <c r="G22" s="685"/>
      <c r="H22" s="685"/>
      <c r="I22" s="685"/>
    </row>
    <row r="23" spans="1:9" ht="21.75" customHeight="1">
      <c r="A23" s="740" t="s">
        <v>997</v>
      </c>
      <c r="B23" s="685"/>
      <c r="C23" s="685"/>
      <c r="D23" s="685"/>
      <c r="E23" s="685"/>
      <c r="F23" s="685"/>
      <c r="G23" s="685"/>
      <c r="H23" s="685"/>
      <c r="I23" s="685"/>
    </row>
    <row r="24" spans="1:9" ht="21.75" customHeight="1">
      <c r="A24" s="740" t="s">
        <v>998</v>
      </c>
      <c r="B24" s="685"/>
      <c r="C24" s="685"/>
      <c r="D24" s="685"/>
      <c r="E24" s="685"/>
      <c r="F24" s="685"/>
      <c r="G24" s="685"/>
      <c r="H24" s="685"/>
      <c r="I24" s="685"/>
    </row>
    <row r="25" spans="1:9" ht="21.75" customHeight="1">
      <c r="A25" s="740" t="s">
        <v>999</v>
      </c>
      <c r="B25" s="685"/>
      <c r="C25" s="685"/>
      <c r="D25" s="685"/>
      <c r="E25" s="685"/>
      <c r="F25" s="685"/>
      <c r="G25" s="685"/>
      <c r="H25" s="685"/>
      <c r="I25" s="685"/>
    </row>
    <row r="26" spans="1:9" ht="21.75" customHeight="1">
      <c r="A26" s="740" t="s">
        <v>1000</v>
      </c>
      <c r="B26" s="685"/>
      <c r="C26" s="685"/>
      <c r="D26" s="685"/>
      <c r="E26" s="685"/>
      <c r="F26" s="685"/>
      <c r="G26" s="685"/>
      <c r="H26" s="685"/>
      <c r="I26" s="685"/>
    </row>
    <row r="27" spans="1:9" ht="21.75" customHeight="1"/>
    <row r="28" spans="1:9" ht="24.25" customHeight="1">
      <c r="A28" s="134" t="s">
        <v>1001</v>
      </c>
      <c r="B28" s="135">
        <v>2023</v>
      </c>
      <c r="C28" s="135">
        <v>2022</v>
      </c>
      <c r="D28" s="135">
        <v>2021</v>
      </c>
      <c r="E28" s="135">
        <v>2020</v>
      </c>
      <c r="F28" s="135">
        <v>2019</v>
      </c>
    </row>
    <row r="29" spans="1:9" ht="19.25" customHeight="1">
      <c r="A29" s="21" t="s">
        <v>1002</v>
      </c>
      <c r="B29" s="291">
        <v>0</v>
      </c>
      <c r="C29" s="35">
        <v>12</v>
      </c>
      <c r="D29" s="20">
        <v>6</v>
      </c>
      <c r="E29" s="20">
        <v>6</v>
      </c>
      <c r="F29" s="20">
        <v>1</v>
      </c>
    </row>
    <row r="30" spans="1:9" ht="25.75" customHeight="1">
      <c r="A30" s="21" t="s">
        <v>1003</v>
      </c>
      <c r="B30" s="291">
        <v>2</v>
      </c>
      <c r="C30" s="35">
        <v>1</v>
      </c>
      <c r="D30" s="20">
        <v>4</v>
      </c>
      <c r="E30" s="20">
        <v>0</v>
      </c>
      <c r="F30" s="20">
        <v>4</v>
      </c>
    </row>
    <row r="31" spans="1:9" ht="22.5" customHeight="1">
      <c r="A31" s="21" t="s">
        <v>1004</v>
      </c>
      <c r="B31" s="292">
        <v>21707</v>
      </c>
      <c r="C31" s="20">
        <v>6300</v>
      </c>
      <c r="D31" s="20">
        <v>2921000</v>
      </c>
      <c r="E31" s="20">
        <v>0</v>
      </c>
      <c r="F31" s="20">
        <v>9500</v>
      </c>
    </row>
    <row r="32" spans="1:9" ht="26.75" customHeight="1">
      <c r="A32" s="155" t="s">
        <v>1005</v>
      </c>
      <c r="B32" s="293">
        <v>0</v>
      </c>
      <c r="C32" s="195">
        <v>0</v>
      </c>
      <c r="D32" s="210">
        <v>1223000</v>
      </c>
      <c r="E32" s="210">
        <v>0</v>
      </c>
      <c r="F32" s="210">
        <v>0</v>
      </c>
    </row>
    <row r="33" spans="1:6" ht="49.25" customHeight="1">
      <c r="A33" s="738" t="s">
        <v>1006</v>
      </c>
      <c r="B33" s="738"/>
      <c r="C33" s="738"/>
      <c r="D33" s="738"/>
      <c r="E33" s="738"/>
      <c r="F33" s="738"/>
    </row>
    <row r="34" spans="1:6" ht="15" customHeight="1"/>
    <row r="35" spans="1:6" ht="15" customHeight="1"/>
    <row r="36" spans="1:6" ht="15" customHeight="1"/>
    <row r="37" spans="1:6" ht="15" customHeight="1"/>
    <row r="38" spans="1:6" ht="15" customHeight="1"/>
    <row r="39" spans="1:6" ht="15" customHeight="1"/>
    <row r="40" spans="1:6" ht="15" customHeight="1"/>
    <row r="41" spans="1:6" ht="15" customHeight="1"/>
    <row r="42" spans="1:6" ht="15" customHeight="1"/>
    <row r="43" spans="1:6" ht="15" customHeight="1"/>
    <row r="44" spans="1:6" ht="15" customHeight="1"/>
    <row r="45" spans="1:6" ht="15" customHeight="1"/>
    <row r="46" spans="1:6" ht="15" customHeight="1"/>
    <row r="47" spans="1:6" ht="15" customHeight="1"/>
    <row r="48" spans="1:6" ht="15" customHeight="1"/>
    <row r="49" ht="15" customHeight="1"/>
    <row r="50" ht="15" customHeight="1"/>
  </sheetData>
  <sheetProtection algorithmName="SHA-512" hashValue="Cp50L3wWFATL2fUUvhkh3/HzoCoglm9wl97neLnMpx8KYuMKXy4DWWKcQWsktWRC8FhF3+2CoG6ng5feJzNWMw==" saltValue="ohXQvPAiCK/0D/yMq4KpTg==" spinCount="100000" sheet="1" objects="1" scenarios="1"/>
  <mergeCells count="10">
    <mergeCell ref="A23:I23"/>
    <mergeCell ref="A24:I24"/>
    <mergeCell ref="A26:I26"/>
    <mergeCell ref="A25:I25"/>
    <mergeCell ref="A33:F33"/>
    <mergeCell ref="A19:F19"/>
    <mergeCell ref="A18:F18"/>
    <mergeCell ref="A20:I20"/>
    <mergeCell ref="A21:I21"/>
    <mergeCell ref="A22:I22"/>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85"/>
  <sheetViews>
    <sheetView showGridLines="0" showRuler="0" topLeftCell="A45" workbookViewId="0">
      <selection activeCell="H80" sqref="H80"/>
    </sheetView>
  </sheetViews>
  <sheetFormatPr baseColWidth="10" defaultColWidth="12.83203125" defaultRowHeight="13"/>
  <cols>
    <col min="1" max="1" width="72.33203125" customWidth="1"/>
    <col min="2" max="2" width="19" customWidth="1"/>
    <col min="3" max="3" width="14.5" customWidth="1"/>
    <col min="4" max="4" width="16.1640625" customWidth="1"/>
    <col min="5" max="7" width="14.83203125" customWidth="1"/>
    <col min="8" max="8" width="15.83203125" customWidth="1"/>
    <col min="9" max="9" width="53.1640625" customWidth="1"/>
    <col min="10" max="10" width="12.83203125" customWidth="1"/>
    <col min="11" max="11" width="9" customWidth="1"/>
    <col min="12" max="12" width="11.83203125" customWidth="1"/>
    <col min="13" max="13" width="10.6640625" customWidth="1"/>
    <col min="14" max="14" width="11.83203125" customWidth="1"/>
    <col min="15" max="15" width="10.6640625" customWidth="1"/>
  </cols>
  <sheetData>
    <row r="1" spans="1:7" ht="25.75" customHeight="1">
      <c r="A1" s="745" t="s">
        <v>1007</v>
      </c>
      <c r="B1" s="745"/>
      <c r="C1" s="745"/>
      <c r="D1" s="745"/>
      <c r="E1" s="745"/>
      <c r="F1" s="745"/>
      <c r="G1" s="745"/>
    </row>
    <row r="2" spans="1:7" ht="25.75" customHeight="1">
      <c r="F2" s="331"/>
      <c r="G2" s="331"/>
    </row>
    <row r="3" spans="1:7" ht="25.75" customHeight="1">
      <c r="A3" s="134" t="s">
        <v>1008</v>
      </c>
      <c r="B3" s="745"/>
      <c r="C3" s="745"/>
      <c r="D3" s="745"/>
      <c r="E3" s="745"/>
      <c r="F3" s="745"/>
      <c r="G3" s="745"/>
    </row>
    <row r="4" spans="1:7" ht="25.75" customHeight="1">
      <c r="A4" s="134" t="s">
        <v>1009</v>
      </c>
      <c r="B4" s="745"/>
      <c r="C4" s="745"/>
      <c r="D4" s="745"/>
      <c r="E4" s="745"/>
      <c r="F4" s="745"/>
      <c r="G4" s="745"/>
    </row>
    <row r="5" spans="1:7" ht="25.75" customHeight="1">
      <c r="A5" s="134" t="s">
        <v>1010</v>
      </c>
      <c r="B5" s="745"/>
      <c r="C5" s="745"/>
      <c r="D5" s="745"/>
      <c r="E5" s="745"/>
      <c r="F5" s="745"/>
      <c r="G5" s="745"/>
    </row>
    <row r="6" spans="1:7" ht="25.75" customHeight="1">
      <c r="A6" s="134" t="s">
        <v>1011</v>
      </c>
      <c r="B6" s="745"/>
      <c r="C6" s="745"/>
      <c r="D6" s="745"/>
      <c r="E6" s="745"/>
      <c r="F6" s="745"/>
      <c r="G6" s="745"/>
    </row>
    <row r="7" spans="1:7" ht="25.75" customHeight="1"/>
    <row r="8" spans="1:7" ht="25.75" customHeight="1">
      <c r="A8" s="134" t="s">
        <v>1012</v>
      </c>
      <c r="B8" s="135">
        <v>2023</v>
      </c>
      <c r="C8" s="135">
        <v>2022</v>
      </c>
      <c r="D8" s="135">
        <v>2021</v>
      </c>
      <c r="E8" s="135">
        <v>2020</v>
      </c>
      <c r="F8" s="135">
        <v>2019</v>
      </c>
      <c r="G8" s="135">
        <v>2018</v>
      </c>
    </row>
    <row r="9" spans="1:7" ht="25.75" customHeight="1">
      <c r="A9" s="21" t="s">
        <v>1013</v>
      </c>
      <c r="B9" s="145">
        <v>58</v>
      </c>
      <c r="C9" s="35">
        <v>61</v>
      </c>
      <c r="D9" s="35">
        <v>58</v>
      </c>
      <c r="E9" s="20">
        <v>59</v>
      </c>
      <c r="F9" s="20">
        <v>48</v>
      </c>
      <c r="G9" s="20">
        <v>41</v>
      </c>
    </row>
    <row r="10" spans="1:7" ht="25.75" customHeight="1">
      <c r="A10" s="21" t="s">
        <v>1014</v>
      </c>
      <c r="B10" s="145">
        <v>117</v>
      </c>
      <c r="C10" s="35">
        <v>144</v>
      </c>
      <c r="D10" s="35">
        <v>155</v>
      </c>
      <c r="E10" s="20">
        <v>141</v>
      </c>
      <c r="F10" s="20">
        <v>141</v>
      </c>
      <c r="G10" s="20">
        <v>149</v>
      </c>
    </row>
    <row r="11" spans="1:7" ht="25.75" customHeight="1">
      <c r="A11" s="294" t="s">
        <v>1015</v>
      </c>
      <c r="B11" s="294"/>
      <c r="C11" s="294"/>
      <c r="D11" s="332"/>
      <c r="E11" s="333"/>
      <c r="F11" s="333"/>
      <c r="G11" s="333"/>
    </row>
    <row r="12" spans="1:7" ht="25.75" customHeight="1">
      <c r="A12" s="294" t="s">
        <v>1016</v>
      </c>
      <c r="B12" s="294"/>
      <c r="C12" s="294"/>
      <c r="D12" s="332"/>
      <c r="E12" s="333"/>
      <c r="F12" s="333"/>
      <c r="G12" s="333"/>
    </row>
    <row r="13" spans="1:7" ht="25.75" customHeight="1">
      <c r="A13" s="295" t="s">
        <v>1017</v>
      </c>
      <c r="B13" s="295"/>
      <c r="C13" s="295"/>
      <c r="D13" s="334"/>
      <c r="E13" s="335"/>
      <c r="F13" s="335"/>
      <c r="G13" s="335"/>
    </row>
    <row r="14" spans="1:7" ht="25.75" customHeight="1">
      <c r="A14" s="296" t="s">
        <v>1018</v>
      </c>
      <c r="B14" s="297">
        <v>175</v>
      </c>
      <c r="C14" s="298">
        <v>205</v>
      </c>
      <c r="D14" s="298">
        <f>(D9+D10)-D11</f>
        <v>213</v>
      </c>
      <c r="E14" s="299">
        <f>(E9+E10)-E11</f>
        <v>200</v>
      </c>
      <c r="F14" s="299">
        <f>(F9+F10)-F11</f>
        <v>189</v>
      </c>
      <c r="G14" s="299">
        <f>(G9+G10)-G11</f>
        <v>190</v>
      </c>
    </row>
    <row r="15" spans="1:7" ht="25.75" customHeight="1">
      <c r="A15" s="746" t="s">
        <v>1019</v>
      </c>
      <c r="B15" s="746"/>
      <c r="C15" s="746"/>
      <c r="D15" s="746"/>
      <c r="E15" s="746"/>
      <c r="F15" s="746"/>
      <c r="G15" s="746"/>
    </row>
    <row r="16" spans="1:7" ht="16.75" customHeight="1"/>
    <row r="17" spans="1:15" ht="25.75" customHeight="1">
      <c r="A17" s="748" t="s">
        <v>1020</v>
      </c>
      <c r="B17" s="748"/>
      <c r="C17" s="748"/>
      <c r="D17" s="748"/>
      <c r="E17" s="748"/>
      <c r="F17" s="748"/>
      <c r="G17" s="748"/>
    </row>
    <row r="18" spans="1:15" ht="25.75" customHeight="1">
      <c r="A18" s="747" t="s">
        <v>1021</v>
      </c>
      <c r="B18" s="747"/>
      <c r="C18" s="747"/>
      <c r="D18" s="747"/>
      <c r="E18" s="747"/>
      <c r="F18" s="747"/>
      <c r="G18" s="747"/>
    </row>
    <row r="19" spans="1:15" ht="25.75" customHeight="1">
      <c r="A19" s="685"/>
      <c r="B19" s="685"/>
      <c r="C19" s="685"/>
      <c r="D19" s="685"/>
      <c r="E19" s="685"/>
      <c r="F19" s="685"/>
      <c r="G19" s="685"/>
    </row>
    <row r="20" spans="1:15" ht="27.5" customHeight="1">
      <c r="A20" s="685"/>
      <c r="B20" s="685"/>
      <c r="C20" s="685"/>
      <c r="D20" s="685"/>
      <c r="E20" s="685"/>
      <c r="F20" s="685"/>
      <c r="G20" s="685"/>
    </row>
    <row r="21" spans="1:15" ht="25.75" customHeight="1">
      <c r="A21" s="748" t="s">
        <v>1022</v>
      </c>
      <c r="B21" s="748"/>
      <c r="C21" s="748"/>
      <c r="D21" s="748"/>
      <c r="E21" s="748"/>
      <c r="F21" s="748"/>
      <c r="G21" s="748"/>
    </row>
    <row r="22" spans="1:15" ht="25.75" customHeight="1">
      <c r="A22" s="302" t="s">
        <v>986</v>
      </c>
      <c r="B22" s="303">
        <v>2023</v>
      </c>
      <c r="C22" s="303">
        <v>2022</v>
      </c>
      <c r="D22" s="303">
        <v>2021</v>
      </c>
      <c r="E22" s="303">
        <v>2020</v>
      </c>
      <c r="F22" s="303">
        <v>2019</v>
      </c>
      <c r="G22" s="304" t="s">
        <v>1023</v>
      </c>
    </row>
    <row r="23" spans="1:15" ht="25.75" customHeight="1">
      <c r="A23" s="103" t="s">
        <v>988</v>
      </c>
      <c r="B23" s="305">
        <v>0</v>
      </c>
      <c r="C23" s="306">
        <v>0</v>
      </c>
      <c r="D23" s="306">
        <v>0</v>
      </c>
      <c r="E23" s="306">
        <v>0</v>
      </c>
      <c r="F23" s="307">
        <v>0</v>
      </c>
      <c r="G23" s="307">
        <v>2</v>
      </c>
    </row>
    <row r="24" spans="1:15" ht="25.75" customHeight="1">
      <c r="A24" s="21" t="s">
        <v>989</v>
      </c>
      <c r="B24" s="145">
        <v>0</v>
      </c>
      <c r="C24" s="35">
        <v>0</v>
      </c>
      <c r="D24" s="35">
        <v>0</v>
      </c>
      <c r="E24" s="35">
        <v>0</v>
      </c>
      <c r="F24" s="20">
        <v>0</v>
      </c>
      <c r="G24" s="20">
        <v>0</v>
      </c>
      <c r="H24" s="3"/>
      <c r="I24" s="3"/>
      <c r="J24" s="3"/>
      <c r="K24" s="3"/>
      <c r="L24" s="3"/>
      <c r="M24" s="3"/>
      <c r="N24" s="3"/>
      <c r="O24" s="3"/>
    </row>
    <row r="25" spans="1:15" ht="25.75" customHeight="1">
      <c r="A25" s="25" t="s">
        <v>990</v>
      </c>
      <c r="B25" s="308">
        <v>0</v>
      </c>
      <c r="C25" s="36">
        <v>0</v>
      </c>
      <c r="D25" s="36">
        <v>0</v>
      </c>
      <c r="E25" s="36">
        <v>0</v>
      </c>
      <c r="F25" s="26">
        <v>0</v>
      </c>
      <c r="G25" s="26">
        <v>0</v>
      </c>
    </row>
    <row r="26" spans="1:15" ht="25.75" customHeight="1">
      <c r="A26" s="45" t="s">
        <v>1024</v>
      </c>
      <c r="B26" s="254">
        <v>0</v>
      </c>
      <c r="C26" s="255">
        <v>0</v>
      </c>
      <c r="D26" s="255">
        <v>0</v>
      </c>
      <c r="E26" s="255">
        <v>0</v>
      </c>
      <c r="F26" s="268">
        <v>0</v>
      </c>
      <c r="G26" s="268">
        <v>2</v>
      </c>
    </row>
    <row r="27" spans="1:15" ht="25.75" customHeight="1">
      <c r="A27" s="30" t="s">
        <v>1025</v>
      </c>
      <c r="B27" s="30"/>
      <c r="C27" s="30"/>
      <c r="D27" s="336"/>
      <c r="E27" s="337"/>
      <c r="F27" s="338"/>
      <c r="G27" s="338"/>
    </row>
    <row r="28" spans="1:15" ht="25.75" customHeight="1"/>
    <row r="29" spans="1:15" ht="28.25" customHeight="1">
      <c r="A29" s="749" t="s">
        <v>1026</v>
      </c>
      <c r="B29" s="749"/>
      <c r="C29" s="749"/>
      <c r="D29" s="749"/>
      <c r="E29" s="749"/>
      <c r="F29" s="749"/>
      <c r="G29" s="749"/>
    </row>
    <row r="30" spans="1:15" ht="25.75" customHeight="1">
      <c r="A30" s="743" t="s">
        <v>1027</v>
      </c>
      <c r="B30" s="743"/>
      <c r="C30" s="743"/>
      <c r="D30" s="743"/>
      <c r="E30" s="301"/>
      <c r="F30" s="301"/>
      <c r="G30" s="339"/>
    </row>
    <row r="31" spans="1:15" ht="25.75" customHeight="1"/>
    <row r="32" spans="1:15" ht="25.75" customHeight="1">
      <c r="A32" s="749" t="s">
        <v>1028</v>
      </c>
      <c r="B32" s="749"/>
      <c r="C32" s="749"/>
      <c r="D32" s="749"/>
      <c r="E32" s="749"/>
      <c r="F32" s="749"/>
      <c r="G32" s="749"/>
    </row>
    <row r="33" spans="1:7" ht="25.75" customHeight="1">
      <c r="A33" s="743" t="s">
        <v>1029</v>
      </c>
      <c r="B33" s="743"/>
      <c r="C33" s="743"/>
      <c r="D33" s="743"/>
      <c r="E33" s="340"/>
      <c r="F33" s="340"/>
      <c r="G33" s="340"/>
    </row>
    <row r="34" spans="1:7" ht="25.75" customHeight="1"/>
    <row r="35" spans="1:7" ht="25.75" customHeight="1">
      <c r="A35" s="749" t="s">
        <v>1030</v>
      </c>
      <c r="B35" s="749"/>
      <c r="C35" s="749"/>
      <c r="D35" s="749"/>
      <c r="E35" s="749"/>
      <c r="F35" s="749"/>
      <c r="G35" s="749"/>
    </row>
    <row r="36" spans="1:7" ht="25.75" customHeight="1">
      <c r="A36" s="743" t="s">
        <v>1031</v>
      </c>
      <c r="B36" s="743"/>
      <c r="C36" s="743"/>
      <c r="D36" s="743"/>
      <c r="E36" s="340"/>
      <c r="F36" s="340"/>
      <c r="G36" s="340"/>
    </row>
    <row r="37" spans="1:7" ht="25.75" customHeight="1"/>
    <row r="38" spans="1:7" ht="25.75" customHeight="1">
      <c r="A38" s="749" t="s">
        <v>1032</v>
      </c>
      <c r="B38" s="749"/>
      <c r="C38" s="749"/>
      <c r="D38" s="749"/>
      <c r="E38" s="749"/>
      <c r="F38" s="749"/>
      <c r="G38" s="749"/>
    </row>
    <row r="39" spans="1:7" ht="25.75" customHeight="1">
      <c r="A39" s="743" t="s">
        <v>1033</v>
      </c>
      <c r="B39" s="743"/>
      <c r="C39" s="743"/>
      <c r="D39" s="743"/>
      <c r="E39" s="340"/>
      <c r="F39" s="340"/>
      <c r="G39" s="340"/>
    </row>
    <row r="40" spans="1:7" ht="25.75" customHeight="1"/>
    <row r="41" spans="1:7" ht="25.75" customHeight="1">
      <c r="A41" s="749" t="s">
        <v>1034</v>
      </c>
      <c r="B41" s="749"/>
      <c r="C41" s="749"/>
      <c r="D41" s="749"/>
      <c r="E41" s="749"/>
      <c r="F41" s="749"/>
      <c r="G41" s="749"/>
    </row>
    <row r="42" spans="1:7" ht="25.75" customHeight="1">
      <c r="A42" s="750" t="s">
        <v>1035</v>
      </c>
      <c r="B42" s="750"/>
      <c r="C42" s="750"/>
      <c r="D42" s="750"/>
      <c r="E42" s="750"/>
      <c r="F42" s="750"/>
      <c r="G42" s="750"/>
    </row>
    <row r="43" spans="1:7" ht="25.75" customHeight="1">
      <c r="A43" s="743" t="s">
        <v>1036</v>
      </c>
      <c r="B43" s="743"/>
      <c r="C43" s="743"/>
      <c r="D43" s="743"/>
      <c r="E43" s="340"/>
      <c r="F43" s="340"/>
      <c r="G43" s="340"/>
    </row>
    <row r="44" spans="1:7" ht="25.75" customHeight="1"/>
    <row r="45" spans="1:7" ht="25.75" customHeight="1">
      <c r="A45" s="309" t="s">
        <v>1037</v>
      </c>
    </row>
    <row r="46" spans="1:7" ht="25.75" customHeight="1">
      <c r="A46" s="300" t="s">
        <v>1038</v>
      </c>
      <c r="B46" s="310">
        <v>2023</v>
      </c>
      <c r="C46" s="310">
        <v>2022</v>
      </c>
      <c r="D46" s="310">
        <v>2021</v>
      </c>
      <c r="E46" s="310">
        <v>2020</v>
      </c>
      <c r="F46" s="310">
        <v>2019</v>
      </c>
      <c r="G46" s="310">
        <v>2018</v>
      </c>
    </row>
    <row r="47" spans="1:7" ht="25.75" customHeight="1">
      <c r="A47" s="311" t="s">
        <v>1039</v>
      </c>
      <c r="B47" s="341"/>
      <c r="C47" s="341"/>
      <c r="D47" s="341"/>
      <c r="E47" s="341"/>
      <c r="F47" s="341"/>
      <c r="G47" s="341"/>
    </row>
    <row r="48" spans="1:7" ht="25.75" customHeight="1">
      <c r="A48" s="43" t="s">
        <v>1040</v>
      </c>
      <c r="B48" s="222">
        <v>14.02</v>
      </c>
      <c r="C48" s="229">
        <v>14.05</v>
      </c>
      <c r="D48" s="206">
        <v>15.8</v>
      </c>
      <c r="E48" s="206">
        <v>14.077999999999999</v>
      </c>
      <c r="F48" s="165">
        <v>11.02</v>
      </c>
      <c r="G48" s="165">
        <v>14.9</v>
      </c>
    </row>
    <row r="49" spans="1:15" ht="25.75" customHeight="1">
      <c r="A49" s="43" t="s">
        <v>1041</v>
      </c>
      <c r="B49" s="222">
        <v>0.56999999999999995</v>
      </c>
      <c r="C49" s="229">
        <v>1.1859999999999999</v>
      </c>
      <c r="D49" s="206">
        <v>0.99</v>
      </c>
      <c r="E49" s="206">
        <v>0.22500000000000001</v>
      </c>
      <c r="F49" s="165">
        <v>0.14000000000000001</v>
      </c>
      <c r="G49" s="165">
        <v>0.1</v>
      </c>
    </row>
    <row r="50" spans="1:15" ht="25.75" customHeight="1">
      <c r="A50" s="43" t="s">
        <v>1042</v>
      </c>
      <c r="B50" s="222">
        <v>0.03</v>
      </c>
      <c r="C50" s="229">
        <v>6.0999999999999999E-2</v>
      </c>
      <c r="D50" s="116">
        <v>0.06</v>
      </c>
      <c r="E50" s="206">
        <v>0.03</v>
      </c>
      <c r="F50" s="165">
        <v>0.01</v>
      </c>
      <c r="G50" s="165">
        <v>0</v>
      </c>
    </row>
    <row r="51" spans="1:15" ht="25.75" customHeight="1">
      <c r="A51" s="191" t="s">
        <v>1043</v>
      </c>
      <c r="B51" s="312">
        <v>0.16</v>
      </c>
      <c r="C51" s="313">
        <v>0.17499999999999999</v>
      </c>
      <c r="D51" s="199">
        <v>0.19</v>
      </c>
      <c r="E51" s="314">
        <v>0.11260000000000001</v>
      </c>
      <c r="F51" s="169">
        <v>0.1</v>
      </c>
      <c r="G51" s="169">
        <v>7.0000000000000007E-2</v>
      </c>
    </row>
    <row r="52" spans="1:15" ht="25.75" customHeight="1">
      <c r="A52" s="296" t="s">
        <v>1044</v>
      </c>
      <c r="B52" s="315">
        <v>14.78</v>
      </c>
      <c r="C52" s="316">
        <f>SUM(C48:C51)</f>
        <v>15.472000000000001</v>
      </c>
      <c r="D52" s="316">
        <f>SUM(D48:D51)</f>
        <v>17.04</v>
      </c>
      <c r="E52" s="316">
        <f>SUM(E48:E51)</f>
        <v>14.445599999999999</v>
      </c>
      <c r="F52" s="316">
        <f>SUM(F48:F51)</f>
        <v>11.27</v>
      </c>
      <c r="G52" s="316">
        <f>SUM(G48:G51)</f>
        <v>15.07</v>
      </c>
    </row>
    <row r="53" spans="1:15" ht="25.75" customHeight="1">
      <c r="A53" s="342"/>
      <c r="B53" s="342"/>
      <c r="C53" s="342"/>
      <c r="D53" s="220"/>
      <c r="E53" s="96"/>
      <c r="F53" s="95"/>
      <c r="G53" s="95"/>
      <c r="I53" s="300" t="s">
        <v>1045</v>
      </c>
      <c r="J53" s="310">
        <v>2023</v>
      </c>
      <c r="K53" s="310">
        <v>2022</v>
      </c>
      <c r="L53" s="310">
        <v>2021</v>
      </c>
      <c r="M53" s="310">
        <v>2020</v>
      </c>
      <c r="N53" s="310">
        <v>2019</v>
      </c>
      <c r="O53" s="310">
        <v>2018</v>
      </c>
    </row>
    <row r="54" spans="1:15" ht="25.75" customHeight="1">
      <c r="A54" s="300" t="s">
        <v>1046</v>
      </c>
      <c r="B54" s="310">
        <v>2023</v>
      </c>
      <c r="C54" s="310">
        <v>2022</v>
      </c>
      <c r="D54" s="310">
        <v>2021</v>
      </c>
      <c r="E54" s="310">
        <v>2020</v>
      </c>
      <c r="F54" s="310">
        <v>2019</v>
      </c>
      <c r="G54" s="310">
        <v>2018</v>
      </c>
      <c r="I54" s="103" t="s">
        <v>689</v>
      </c>
      <c r="J54" s="317">
        <v>0.83</v>
      </c>
      <c r="K54" s="317">
        <v>0.69</v>
      </c>
      <c r="L54" s="318">
        <v>0.78184199999999904</v>
      </c>
      <c r="M54" s="318">
        <v>0.54736499999999999</v>
      </c>
      <c r="N54" s="318">
        <v>3.4890840000000001</v>
      </c>
      <c r="O54" s="105"/>
    </row>
    <row r="55" spans="1:15" ht="25.75" customHeight="1">
      <c r="A55" s="103" t="s">
        <v>1047</v>
      </c>
      <c r="B55" s="317">
        <v>13.01</v>
      </c>
      <c r="C55" s="318">
        <v>9.1530000000000005</v>
      </c>
      <c r="D55" s="318">
        <v>10.23</v>
      </c>
      <c r="E55" s="318">
        <v>9.4559999999999995</v>
      </c>
      <c r="F55" s="318">
        <v>12.82</v>
      </c>
      <c r="G55" s="318">
        <v>8.9700000000000006</v>
      </c>
      <c r="I55" s="21" t="s">
        <v>1048</v>
      </c>
      <c r="J55" s="206">
        <v>0.6</v>
      </c>
      <c r="K55" s="116">
        <v>0.61</v>
      </c>
      <c r="L55" s="206">
        <v>0.60258999999999896</v>
      </c>
      <c r="M55" s="206">
        <v>0.60066000000000097</v>
      </c>
      <c r="N55" s="206">
        <v>0.57210000000000005</v>
      </c>
      <c r="O55" s="206">
        <f>475.41/1000</f>
        <v>0.47541</v>
      </c>
    </row>
    <row r="56" spans="1:15" ht="25.75" customHeight="1">
      <c r="A56" s="21" t="s">
        <v>1049</v>
      </c>
      <c r="B56" s="35">
        <v>0</v>
      </c>
      <c r="C56" s="35">
        <v>0</v>
      </c>
      <c r="D56" s="35">
        <v>0</v>
      </c>
      <c r="E56" s="35">
        <v>0</v>
      </c>
      <c r="F56" s="35">
        <v>0</v>
      </c>
      <c r="G56" s="35">
        <v>0</v>
      </c>
      <c r="I56" s="21" t="s">
        <v>690</v>
      </c>
      <c r="J56" s="206">
        <v>1.4</v>
      </c>
      <c r="K56" s="206">
        <v>1.0900000000000001</v>
      </c>
      <c r="L56" s="206">
        <v>1.4561900000000001</v>
      </c>
      <c r="M56" s="206">
        <v>1.1877</v>
      </c>
      <c r="N56" s="206">
        <v>0.88666999999999996</v>
      </c>
      <c r="O56" s="206">
        <f>658.5/1000</f>
        <v>0.65849999999999997</v>
      </c>
    </row>
    <row r="57" spans="1:15" ht="25.75" customHeight="1">
      <c r="A57" s="21" t="s">
        <v>1050</v>
      </c>
      <c r="B57" s="35">
        <v>0</v>
      </c>
      <c r="C57" s="35">
        <v>0</v>
      </c>
      <c r="D57" s="35">
        <v>0</v>
      </c>
      <c r="E57" s="35">
        <v>0</v>
      </c>
      <c r="F57" s="35">
        <v>0</v>
      </c>
      <c r="G57" s="35">
        <v>0</v>
      </c>
      <c r="I57" s="21" t="s">
        <v>678</v>
      </c>
      <c r="J57" s="206">
        <v>4.0999999999999996</v>
      </c>
      <c r="K57" s="116">
        <v>0.89</v>
      </c>
      <c r="L57" s="206">
        <v>0.108</v>
      </c>
      <c r="M57" s="206">
        <v>0.108</v>
      </c>
      <c r="N57" s="206">
        <v>0.09</v>
      </c>
      <c r="O57" s="206">
        <f>90/1000</f>
        <v>0.09</v>
      </c>
    </row>
    <row r="58" spans="1:15" ht="25.75" customHeight="1">
      <c r="A58" s="21" t="s">
        <v>1051</v>
      </c>
      <c r="B58" s="35">
        <v>0</v>
      </c>
      <c r="C58" s="35">
        <v>0</v>
      </c>
      <c r="D58" s="35">
        <v>0</v>
      </c>
      <c r="E58" s="35">
        <v>0</v>
      </c>
      <c r="F58" s="35">
        <v>0</v>
      </c>
      <c r="G58" s="35">
        <v>0</v>
      </c>
      <c r="I58" s="21" t="s">
        <v>604</v>
      </c>
      <c r="J58" s="116">
        <v>3.21</v>
      </c>
      <c r="K58" s="116">
        <v>3.05</v>
      </c>
      <c r="L58" s="206">
        <v>2.0214080000000001</v>
      </c>
      <c r="M58" s="206">
        <v>1.24448</v>
      </c>
      <c r="N58" s="206">
        <v>2.2305130000000002</v>
      </c>
      <c r="O58" s="206">
        <f>1732.076/1000</f>
        <v>1.7320759999999999</v>
      </c>
    </row>
    <row r="59" spans="1:15" ht="25.75" customHeight="1">
      <c r="A59" s="73" t="s">
        <v>1052</v>
      </c>
      <c r="B59" s="74">
        <v>0</v>
      </c>
      <c r="C59" s="74">
        <v>0</v>
      </c>
      <c r="D59" s="74">
        <v>0</v>
      </c>
      <c r="E59" s="74">
        <v>0</v>
      </c>
      <c r="F59" s="74">
        <v>0</v>
      </c>
      <c r="G59" s="74">
        <v>0</v>
      </c>
      <c r="I59" s="21" t="s">
        <v>691</v>
      </c>
      <c r="J59" s="116">
        <v>0.34</v>
      </c>
      <c r="K59" s="116">
        <v>0.45</v>
      </c>
      <c r="L59" s="206">
        <v>0.51671999999999996</v>
      </c>
      <c r="M59" s="206">
        <v>0.46223999999999998</v>
      </c>
      <c r="N59" s="206">
        <v>0.62178</v>
      </c>
      <c r="O59" s="206">
        <f>710.36/1000</f>
        <v>0.71035999999999999</v>
      </c>
    </row>
    <row r="60" spans="1:15" ht="25.75" customHeight="1">
      <c r="A60" s="296" t="s">
        <v>1044</v>
      </c>
      <c r="B60" s="315">
        <v>13.01</v>
      </c>
      <c r="C60" s="316">
        <f>SUM(C55:C59)</f>
        <v>9.1530000000000005</v>
      </c>
      <c r="D60" s="316">
        <f>D55</f>
        <v>10.23</v>
      </c>
      <c r="E60" s="316">
        <f>E55</f>
        <v>9.4559999999999995</v>
      </c>
      <c r="F60" s="316">
        <f>F55</f>
        <v>12.82</v>
      </c>
      <c r="G60" s="316">
        <f>G55</f>
        <v>8.9700000000000006</v>
      </c>
      <c r="I60" s="21" t="s">
        <v>680</v>
      </c>
      <c r="J60" s="116">
        <v>1.57</v>
      </c>
      <c r="K60" s="116">
        <v>1.45</v>
      </c>
      <c r="L60" s="206">
        <v>4.0333500000000004</v>
      </c>
      <c r="M60" s="206">
        <v>4.7961</v>
      </c>
      <c r="N60" s="206">
        <v>4.6139650000000003</v>
      </c>
      <c r="O60" s="206">
        <f>5124.52/1000</f>
        <v>5.1245200000000004</v>
      </c>
    </row>
    <row r="61" spans="1:15" ht="25.75" customHeight="1">
      <c r="A61" s="342"/>
      <c r="B61" s="342"/>
      <c r="C61" s="342"/>
      <c r="D61" s="220"/>
      <c r="E61" s="96"/>
      <c r="F61" s="95"/>
      <c r="G61" s="95"/>
      <c r="I61" s="73" t="s">
        <v>746</v>
      </c>
      <c r="J61" s="199">
        <v>0.96</v>
      </c>
      <c r="K61" s="199">
        <v>0.92</v>
      </c>
      <c r="L61" s="314">
        <v>0.7087</v>
      </c>
      <c r="M61" s="314">
        <v>0.51012000000000002</v>
      </c>
      <c r="N61" s="314">
        <v>0.31235000000000002</v>
      </c>
      <c r="O61" s="314">
        <f>181.05/1000</f>
        <v>0.18105000000000002</v>
      </c>
    </row>
    <row r="62" spans="1:15" ht="25.75" customHeight="1">
      <c r="A62" s="106" t="s">
        <v>1053</v>
      </c>
      <c r="B62" s="106"/>
      <c r="C62" s="43"/>
      <c r="I62" s="319" t="s">
        <v>1044</v>
      </c>
      <c r="J62" s="320">
        <f t="shared" ref="J62:O62" si="0">SUM(J54:J61)</f>
        <v>13.010000000000002</v>
      </c>
      <c r="K62" s="321">
        <f t="shared" si="0"/>
        <v>9.15</v>
      </c>
      <c r="L62" s="322">
        <f t="shared" si="0"/>
        <v>10.2288</v>
      </c>
      <c r="M62" s="322">
        <f t="shared" si="0"/>
        <v>9.456665000000001</v>
      </c>
      <c r="N62" s="322">
        <f t="shared" si="0"/>
        <v>12.816462</v>
      </c>
      <c r="O62" s="322">
        <f t="shared" si="0"/>
        <v>8.971916000000002</v>
      </c>
    </row>
    <row r="63" spans="1:15" ht="25.75" customHeight="1">
      <c r="A63" s="300" t="s">
        <v>1054</v>
      </c>
      <c r="B63" s="135">
        <v>2023</v>
      </c>
      <c r="C63" s="310">
        <v>2022</v>
      </c>
      <c r="D63" s="310">
        <v>2021</v>
      </c>
      <c r="E63" s="310">
        <v>2020</v>
      </c>
      <c r="F63" s="310">
        <v>2019</v>
      </c>
      <c r="G63" s="310">
        <v>2018</v>
      </c>
      <c r="I63" s="743" t="s">
        <v>1055</v>
      </c>
      <c r="J63" s="743"/>
      <c r="K63" s="743"/>
      <c r="L63" s="743"/>
      <c r="M63" s="743"/>
      <c r="N63" s="743"/>
      <c r="O63" s="743"/>
    </row>
    <row r="64" spans="1:15" ht="25.75" customHeight="1">
      <c r="A64" s="323" t="s">
        <v>1056</v>
      </c>
      <c r="B64" s="222">
        <v>2.0299999999999998</v>
      </c>
      <c r="C64" s="324">
        <v>2.0857359999999998</v>
      </c>
      <c r="D64" s="318">
        <v>2.1</v>
      </c>
      <c r="E64" s="318">
        <v>2.0939999999999999</v>
      </c>
      <c r="F64" s="325">
        <v>1.94</v>
      </c>
      <c r="G64" s="325">
        <v>4.26</v>
      </c>
    </row>
    <row r="65" spans="1:15" ht="25.75" customHeight="1">
      <c r="A65" s="191" t="s">
        <v>1057</v>
      </c>
      <c r="B65" s="312">
        <v>0.26</v>
      </c>
      <c r="C65" s="313">
        <v>0.56499999999999995</v>
      </c>
      <c r="D65" s="314">
        <v>0.6</v>
      </c>
      <c r="E65" s="314">
        <v>0.318</v>
      </c>
      <c r="F65" s="169">
        <v>0.65</v>
      </c>
      <c r="G65" s="169">
        <v>0.68</v>
      </c>
    </row>
    <row r="66" spans="1:15" ht="25.75" customHeight="1">
      <c r="A66" s="296" t="s">
        <v>1044</v>
      </c>
      <c r="B66" s="315">
        <v>2.29</v>
      </c>
      <c r="C66" s="316">
        <f>SUM(C64:C65)</f>
        <v>2.6507359999999998</v>
      </c>
      <c r="D66" s="316">
        <f>SUM(D64:D65)</f>
        <v>2.7</v>
      </c>
      <c r="E66" s="316">
        <f>SUM(E64:E65)</f>
        <v>2.4119999999999999</v>
      </c>
      <c r="F66" s="316">
        <f>SUM(F64:F65)</f>
        <v>2.59</v>
      </c>
      <c r="G66" s="316">
        <f>SUM(G64:G65)</f>
        <v>4.9399999999999995</v>
      </c>
    </row>
    <row r="67" spans="1:15" ht="25.75" customHeight="1">
      <c r="A67" s="343"/>
      <c r="B67" s="343"/>
      <c r="C67" s="343"/>
      <c r="D67" s="344"/>
      <c r="E67" s="344"/>
      <c r="F67" s="344"/>
      <c r="G67" s="344"/>
    </row>
    <row r="68" spans="1:15" ht="25.75" customHeight="1">
      <c r="A68" s="300" t="s">
        <v>1058</v>
      </c>
      <c r="B68" s="310">
        <v>2023</v>
      </c>
      <c r="C68" s="310">
        <v>2022</v>
      </c>
      <c r="D68" s="310">
        <v>2021</v>
      </c>
      <c r="E68" s="310">
        <v>2020</v>
      </c>
      <c r="F68" s="310">
        <v>2019</v>
      </c>
      <c r="G68" s="310">
        <v>2018</v>
      </c>
      <c r="I68" s="300" t="s">
        <v>1059</v>
      </c>
      <c r="J68" s="310">
        <v>2023</v>
      </c>
      <c r="K68" s="310">
        <v>2022</v>
      </c>
      <c r="L68" s="310">
        <v>2021</v>
      </c>
      <c r="M68" s="310">
        <v>2020</v>
      </c>
      <c r="N68" s="310">
        <v>2019</v>
      </c>
      <c r="O68" s="310">
        <v>2018</v>
      </c>
    </row>
    <row r="69" spans="1:15" ht="25.75" customHeight="1">
      <c r="A69" s="323" t="s">
        <v>1060</v>
      </c>
      <c r="B69" s="326">
        <v>0.71</v>
      </c>
      <c r="C69" s="324">
        <v>0.68700000000000006</v>
      </c>
      <c r="D69" s="318">
        <v>0.56000000000000005</v>
      </c>
      <c r="E69" s="318">
        <v>0.44923999999999997</v>
      </c>
      <c r="F69" s="318">
        <v>0.51375000000000004</v>
      </c>
      <c r="G69" s="318">
        <v>0.309</v>
      </c>
      <c r="I69" s="103" t="s">
        <v>689</v>
      </c>
      <c r="J69" s="318">
        <v>0.32</v>
      </c>
      <c r="K69" s="318">
        <v>0.38041000000000003</v>
      </c>
      <c r="L69" s="318">
        <v>0.34082800000000002</v>
      </c>
      <c r="M69" s="318">
        <v>0.22095999999999999</v>
      </c>
      <c r="N69" s="318">
        <v>4.827E-2</v>
      </c>
      <c r="O69" s="105"/>
    </row>
    <row r="70" spans="1:15" ht="25.75" customHeight="1">
      <c r="A70" s="43" t="s">
        <v>1061</v>
      </c>
      <c r="B70" s="222">
        <v>0.27</v>
      </c>
      <c r="C70" s="229">
        <v>0.32240000000000002</v>
      </c>
      <c r="D70" s="206">
        <v>0.34</v>
      </c>
      <c r="E70" s="206">
        <v>0.39384000000000002</v>
      </c>
      <c r="F70" s="206">
        <v>0.49547000000000002</v>
      </c>
      <c r="G70" s="206">
        <v>0.47</v>
      </c>
      <c r="I70" s="21" t="s">
        <v>1048</v>
      </c>
      <c r="J70" s="206">
        <v>0</v>
      </c>
      <c r="K70" s="206">
        <v>0</v>
      </c>
      <c r="L70" s="206">
        <v>0</v>
      </c>
      <c r="M70" s="206">
        <v>2.3E-3</v>
      </c>
      <c r="N70" s="206">
        <v>0</v>
      </c>
      <c r="O70" s="206">
        <v>0</v>
      </c>
    </row>
    <row r="71" spans="1:15" ht="25.75" customHeight="1">
      <c r="A71" s="43" t="s">
        <v>1062</v>
      </c>
      <c r="B71" s="222">
        <v>0.03</v>
      </c>
      <c r="C71" s="229">
        <v>1.546E-2</v>
      </c>
      <c r="D71" s="206">
        <v>0.01</v>
      </c>
      <c r="E71" s="206">
        <v>0.64734999999999998</v>
      </c>
      <c r="F71" s="206">
        <v>8.5629999999999994E-3</v>
      </c>
      <c r="G71" s="206">
        <v>1.8E-3</v>
      </c>
      <c r="I71" s="21" t="s">
        <v>690</v>
      </c>
      <c r="J71" s="206">
        <v>0.06</v>
      </c>
      <c r="K71" s="206">
        <v>1.4030000000000001E-2</v>
      </c>
      <c r="L71" s="206">
        <v>4.9100000000000003E-3</v>
      </c>
      <c r="M71" s="206">
        <v>1.102E-2</v>
      </c>
      <c r="N71" s="206">
        <v>3.63E-3</v>
      </c>
      <c r="O71" s="206">
        <v>6.4939999999999998E-2</v>
      </c>
    </row>
    <row r="72" spans="1:15" ht="25.75" customHeight="1">
      <c r="A72" s="43" t="s">
        <v>1063</v>
      </c>
      <c r="B72" s="222">
        <v>0.11</v>
      </c>
      <c r="C72" s="229">
        <v>0.20377999999999999</v>
      </c>
      <c r="D72" s="206">
        <v>0.22</v>
      </c>
      <c r="E72" s="206">
        <v>0.21271000000000001</v>
      </c>
      <c r="F72" s="206">
        <v>0.24109</v>
      </c>
      <c r="G72" s="206">
        <v>0.34342800000000001</v>
      </c>
      <c r="I72" s="21" t="s">
        <v>678</v>
      </c>
      <c r="J72" s="206">
        <v>0.04</v>
      </c>
      <c r="K72" s="206">
        <v>4.548E-2</v>
      </c>
      <c r="L72" s="206">
        <v>4.0891700000000003E-2</v>
      </c>
      <c r="M72" s="206">
        <v>5.2900000000000003E-2</v>
      </c>
      <c r="N72" s="206">
        <v>0.16</v>
      </c>
      <c r="O72" s="206">
        <v>0</v>
      </c>
    </row>
    <row r="73" spans="1:15" ht="25.75" customHeight="1">
      <c r="A73" s="43" t="s">
        <v>1064</v>
      </c>
      <c r="B73" s="229">
        <v>0</v>
      </c>
      <c r="C73" s="229">
        <v>0</v>
      </c>
      <c r="D73" s="206">
        <v>0</v>
      </c>
      <c r="E73" s="206">
        <v>0</v>
      </c>
      <c r="F73" s="206">
        <v>0</v>
      </c>
      <c r="G73" s="206">
        <v>0.38819399999999998</v>
      </c>
      <c r="I73" s="21" t="s">
        <v>604</v>
      </c>
      <c r="J73" s="206">
        <v>0</v>
      </c>
      <c r="K73" s="206">
        <v>8.9999999999999998E-4</v>
      </c>
      <c r="L73" s="206">
        <v>2.9334800000000001E-2</v>
      </c>
      <c r="M73" s="206">
        <v>0.66869999999999996</v>
      </c>
      <c r="N73" s="206">
        <v>3.8954000000000003E-2</v>
      </c>
      <c r="O73" s="206">
        <v>6.4999999999999997E-4</v>
      </c>
    </row>
    <row r="74" spans="1:15" ht="25.75" customHeight="1">
      <c r="A74" s="21" t="s">
        <v>1065</v>
      </c>
      <c r="B74" s="206">
        <v>2.0280200000000002E-3</v>
      </c>
      <c r="C74" s="206">
        <v>2.0280200000000002E-3</v>
      </c>
      <c r="D74" s="206">
        <v>0</v>
      </c>
      <c r="E74" s="206">
        <v>0</v>
      </c>
      <c r="F74" s="206">
        <v>0</v>
      </c>
      <c r="G74" s="206">
        <v>0</v>
      </c>
      <c r="I74" s="21" t="s">
        <v>691</v>
      </c>
      <c r="J74" s="206">
        <v>0.12</v>
      </c>
      <c r="K74" s="206">
        <v>0.23899999999999999</v>
      </c>
      <c r="L74" s="206">
        <v>0.28177999999999997</v>
      </c>
      <c r="M74" s="206">
        <v>0.36444900000000002</v>
      </c>
      <c r="N74" s="206">
        <v>0.56878700000000004</v>
      </c>
      <c r="O74" s="206">
        <v>0.54744000000000004</v>
      </c>
    </row>
    <row r="75" spans="1:15" ht="25.75" customHeight="1">
      <c r="A75" s="21" t="s">
        <v>1050</v>
      </c>
      <c r="B75" s="206">
        <v>0</v>
      </c>
      <c r="C75" s="206">
        <v>0</v>
      </c>
      <c r="D75" s="206">
        <v>0.02</v>
      </c>
      <c r="E75" s="206">
        <v>2.3067000000000001E-4</v>
      </c>
      <c r="F75" s="206">
        <v>1.0510000000000001E-3</v>
      </c>
      <c r="G75" s="206">
        <v>1.191E-3</v>
      </c>
      <c r="I75" s="21" t="s">
        <v>680</v>
      </c>
      <c r="J75" s="206">
        <v>0.02</v>
      </c>
      <c r="K75" s="206">
        <v>4.0400000000000002E-3</v>
      </c>
      <c r="L75" s="206">
        <v>3.8E-3</v>
      </c>
      <c r="M75" s="206">
        <v>2.5400000000000002E-3</v>
      </c>
      <c r="N75" s="206">
        <v>5.9230000000000003E-3</v>
      </c>
      <c r="O75" s="206">
        <v>0.38818999999999998</v>
      </c>
    </row>
    <row r="76" spans="1:15" ht="25.75" customHeight="1">
      <c r="A76" s="21" t="s">
        <v>1051</v>
      </c>
      <c r="B76" s="206">
        <v>0</v>
      </c>
      <c r="C76" s="206">
        <v>0</v>
      </c>
      <c r="D76" s="206">
        <v>0</v>
      </c>
      <c r="E76" s="206">
        <v>0</v>
      </c>
      <c r="F76" s="206">
        <v>0</v>
      </c>
      <c r="G76" s="206">
        <v>0</v>
      </c>
      <c r="I76" s="73" t="s">
        <v>746</v>
      </c>
      <c r="J76" s="314">
        <v>0.56000000000000005</v>
      </c>
      <c r="K76" s="314">
        <v>0.55000000000000004</v>
      </c>
      <c r="L76" s="314">
        <v>0.44519999999999998</v>
      </c>
      <c r="M76" s="314">
        <v>0.38250000000000001</v>
      </c>
      <c r="N76" s="314">
        <v>0.43065999999999999</v>
      </c>
      <c r="O76" s="314">
        <v>0.51290000000000002</v>
      </c>
    </row>
    <row r="77" spans="1:15" ht="25.75" customHeight="1">
      <c r="A77" s="73" t="s">
        <v>1052</v>
      </c>
      <c r="B77" s="314">
        <v>0</v>
      </c>
      <c r="C77" s="314">
        <v>0</v>
      </c>
      <c r="D77" s="314">
        <v>0</v>
      </c>
      <c r="E77" s="314">
        <v>0</v>
      </c>
      <c r="F77" s="314">
        <v>0</v>
      </c>
      <c r="G77" s="314">
        <v>0</v>
      </c>
      <c r="I77" s="296" t="s">
        <v>1044</v>
      </c>
      <c r="J77" s="327">
        <f t="shared" ref="J77:O77" si="1">SUM(J69:J76)</f>
        <v>1.1200000000000001</v>
      </c>
      <c r="K77" s="316">
        <f t="shared" si="1"/>
        <v>1.2338600000000002</v>
      </c>
      <c r="L77" s="316">
        <f t="shared" si="1"/>
        <v>1.1467445000000001</v>
      </c>
      <c r="M77" s="316">
        <f t="shared" si="1"/>
        <v>1.7053690000000001</v>
      </c>
      <c r="N77" s="316">
        <f t="shared" si="1"/>
        <v>1.256224</v>
      </c>
      <c r="O77" s="316">
        <f t="shared" si="1"/>
        <v>1.5141200000000001</v>
      </c>
    </row>
    <row r="78" spans="1:15" ht="25.75" customHeight="1">
      <c r="A78" s="296" t="s">
        <v>1044</v>
      </c>
      <c r="B78" s="315">
        <v>1.1200000000000001</v>
      </c>
      <c r="C78" s="328">
        <v>1.23</v>
      </c>
      <c r="D78" s="316">
        <f>SUM(D69:D75)</f>
        <v>1.1500000000000001</v>
      </c>
      <c r="E78" s="316">
        <v>1.7050000000000001</v>
      </c>
      <c r="F78" s="316">
        <v>1.26</v>
      </c>
      <c r="G78" s="316">
        <v>1.51</v>
      </c>
      <c r="I78" s="345"/>
      <c r="J78" s="345"/>
      <c r="K78" s="345"/>
      <c r="L78" s="345"/>
      <c r="M78" s="345"/>
      <c r="N78" s="345"/>
      <c r="O78" s="345"/>
    </row>
    <row r="79" spans="1:15" ht="25.75" customHeight="1">
      <c r="A79" s="345"/>
      <c r="B79" s="329"/>
      <c r="C79" s="329"/>
      <c r="D79" s="329"/>
      <c r="E79" s="329"/>
      <c r="F79" s="329"/>
      <c r="G79" s="329"/>
    </row>
    <row r="80" spans="1:15" ht="21.75" customHeight="1">
      <c r="A80" s="300" t="s">
        <v>1066</v>
      </c>
      <c r="B80" s="327">
        <f t="shared" ref="B80:G80" si="2">SUM(B52,B66)</f>
        <v>17.07</v>
      </c>
      <c r="C80" s="316">
        <f t="shared" si="2"/>
        <v>18.122736</v>
      </c>
      <c r="D80" s="316">
        <f t="shared" si="2"/>
        <v>19.739999999999998</v>
      </c>
      <c r="E80" s="316">
        <f t="shared" si="2"/>
        <v>16.857599999999998</v>
      </c>
      <c r="F80" s="316">
        <f t="shared" si="2"/>
        <v>13.86</v>
      </c>
      <c r="G80" s="316">
        <f t="shared" si="2"/>
        <v>20.009999999999998</v>
      </c>
    </row>
    <row r="81" spans="1:7" ht="16.75" customHeight="1">
      <c r="A81" s="340"/>
      <c r="B81" s="329"/>
      <c r="C81" s="329"/>
      <c r="D81" s="329"/>
      <c r="E81" s="329"/>
      <c r="F81" s="329"/>
      <c r="G81" s="329"/>
    </row>
    <row r="82" spans="1:7" ht="21.75" customHeight="1">
      <c r="A82" s="300" t="s">
        <v>1067</v>
      </c>
      <c r="B82" s="327">
        <f>SUM(B80,B78,B55)</f>
        <v>31.200000000000003</v>
      </c>
      <c r="C82" s="316">
        <f>SUM(C80,C55,C78)</f>
        <v>28.505736000000002</v>
      </c>
      <c r="D82" s="316">
        <f>SUM(D80,D55,D78)</f>
        <v>31.119999999999997</v>
      </c>
      <c r="E82" s="316">
        <f>E80+E55+E78</f>
        <v>28.018599999999999</v>
      </c>
      <c r="F82" s="316">
        <f>F80+F55+F78</f>
        <v>27.94</v>
      </c>
      <c r="G82" s="316">
        <f>G80+G55+G78</f>
        <v>30.49</v>
      </c>
    </row>
    <row r="83" spans="1:7" ht="16.75" customHeight="1">
      <c r="A83" s="340"/>
      <c r="B83" s="329"/>
      <c r="C83" s="329"/>
      <c r="D83" s="329"/>
      <c r="E83" s="329"/>
      <c r="F83" s="329"/>
      <c r="G83" s="329"/>
    </row>
    <row r="84" spans="1:7" ht="17.5" customHeight="1">
      <c r="A84" s="300" t="s">
        <v>1068</v>
      </c>
      <c r="B84" s="632">
        <f t="shared" ref="B84:G84" si="3">B80/B82</f>
        <v>0.54711538461538456</v>
      </c>
      <c r="C84" s="632">
        <f t="shared" si="3"/>
        <v>0.6357575191182574</v>
      </c>
      <c r="D84" s="632">
        <f t="shared" si="3"/>
        <v>0.63431876606683801</v>
      </c>
      <c r="E84" s="632">
        <f t="shared" si="3"/>
        <v>0.60165747039466633</v>
      </c>
      <c r="F84" s="632">
        <f t="shared" si="3"/>
        <v>0.4960629921259842</v>
      </c>
      <c r="G84" s="330">
        <f t="shared" si="3"/>
        <v>0.65628074778615941</v>
      </c>
    </row>
    <row r="85" spans="1:7">
      <c r="A85" s="346"/>
      <c r="B85" s="347"/>
      <c r="C85" s="347"/>
      <c r="D85" s="347"/>
      <c r="E85" s="347"/>
      <c r="F85" s="347"/>
      <c r="G85" s="347"/>
    </row>
  </sheetData>
  <sheetProtection algorithmName="SHA-512" hashValue="L3iKE5CwTGUNkJ18XFYlOcXQcb9U4dWPbZUclS55o9gImaG9qTRS7wUmPtGVHSaZvwmwqF1vsVb2lAgyB0+0mQ==" saltValue="Udux+MqAr/+ukX60UqPMJA==" spinCount="100000" sheet="1" objects="1" scenarios="1"/>
  <mergeCells count="18">
    <mergeCell ref="I63:O63"/>
    <mergeCell ref="A36:D36"/>
    <mergeCell ref="A38:G38"/>
    <mergeCell ref="A39:D39"/>
    <mergeCell ref="A43:D43"/>
    <mergeCell ref="A42:G42"/>
    <mergeCell ref="A41:G41"/>
    <mergeCell ref="A21:G21"/>
    <mergeCell ref="A30:D30"/>
    <mergeCell ref="A32:G32"/>
    <mergeCell ref="A29:G29"/>
    <mergeCell ref="A35:G35"/>
    <mergeCell ref="A33:D33"/>
    <mergeCell ref="A1:G1"/>
    <mergeCell ref="B3:G6"/>
    <mergeCell ref="A15:G15"/>
    <mergeCell ref="A18:G20"/>
    <mergeCell ref="A17:G17"/>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9"/>
  <sheetViews>
    <sheetView showGridLines="0" showRuler="0" topLeftCell="A9" workbookViewId="0">
      <selection activeCell="L31" sqref="L31"/>
    </sheetView>
  </sheetViews>
  <sheetFormatPr baseColWidth="10" defaultColWidth="12.83203125" defaultRowHeight="13"/>
  <cols>
    <col min="1" max="1" width="55.1640625" customWidth="1"/>
    <col min="2" max="13" width="14.33203125" customWidth="1"/>
  </cols>
  <sheetData>
    <row r="1" spans="1:13" ht="21.75" customHeight="1">
      <c r="A1" s="134" t="s">
        <v>1069</v>
      </c>
      <c r="B1" s="134"/>
      <c r="C1" s="134"/>
      <c r="D1" s="134"/>
      <c r="E1" s="134"/>
      <c r="F1" s="134"/>
      <c r="G1" s="134"/>
      <c r="H1" s="134"/>
      <c r="I1" s="134"/>
      <c r="J1" s="134"/>
      <c r="K1" s="134"/>
      <c r="L1" s="134"/>
      <c r="M1" s="134"/>
    </row>
    <row r="2" spans="1:13" ht="21.75" customHeight="1">
      <c r="A2" s="365"/>
      <c r="B2" s="365"/>
      <c r="C2" s="365"/>
      <c r="D2" s="365"/>
      <c r="E2" s="365"/>
      <c r="F2" s="365"/>
      <c r="G2" s="365"/>
      <c r="H2" s="365"/>
      <c r="I2" s="365"/>
      <c r="J2" s="365"/>
      <c r="K2" s="365"/>
      <c r="L2" s="365"/>
      <c r="M2" s="365"/>
    </row>
    <row r="3" spans="1:13" ht="21.75" customHeight="1">
      <c r="A3" s="752" t="s">
        <v>1070</v>
      </c>
      <c r="B3" s="685"/>
      <c r="C3" s="685"/>
      <c r="D3" s="685"/>
      <c r="E3" s="685"/>
      <c r="F3" s="685"/>
      <c r="G3" s="685"/>
      <c r="H3" s="685"/>
      <c r="I3" s="685"/>
      <c r="J3" s="685"/>
      <c r="K3" s="685"/>
      <c r="L3" s="685"/>
      <c r="M3" s="685"/>
    </row>
    <row r="4" spans="1:13" ht="21.75" customHeight="1">
      <c r="A4" s="134"/>
      <c r="B4" s="177" t="s">
        <v>1071</v>
      </c>
      <c r="C4" s="177"/>
      <c r="D4" s="177"/>
      <c r="E4" s="177" t="s">
        <v>1072</v>
      </c>
      <c r="F4" s="177" t="s">
        <v>1073</v>
      </c>
      <c r="G4" s="751" t="s">
        <v>1074</v>
      </c>
      <c r="H4" s="751"/>
      <c r="I4" s="751"/>
      <c r="J4" s="751"/>
      <c r="K4" s="751"/>
      <c r="L4" s="751"/>
      <c r="M4" s="751"/>
    </row>
    <row r="5" spans="1:13" ht="125.75" customHeight="1">
      <c r="A5" s="134" t="s">
        <v>1075</v>
      </c>
      <c r="B5" s="177" t="s">
        <v>1076</v>
      </c>
      <c r="C5" s="177" t="s">
        <v>1077</v>
      </c>
      <c r="D5" s="177" t="s">
        <v>1078</v>
      </c>
      <c r="E5" s="177" t="s">
        <v>1079</v>
      </c>
      <c r="F5" s="177" t="s">
        <v>1080</v>
      </c>
      <c r="G5" s="751" t="s">
        <v>1075</v>
      </c>
      <c r="H5" s="751" t="s">
        <v>1081</v>
      </c>
      <c r="I5" s="751"/>
      <c r="J5" s="751"/>
      <c r="K5" s="751"/>
      <c r="L5" s="751"/>
      <c r="M5" s="751"/>
    </row>
    <row r="6" spans="1:13" ht="21.75" customHeight="1">
      <c r="A6" s="134"/>
      <c r="B6" s="135">
        <v>2023</v>
      </c>
      <c r="C6" s="135">
        <v>2023</v>
      </c>
      <c r="D6" s="135">
        <v>2023</v>
      </c>
      <c r="E6" s="135">
        <v>2023</v>
      </c>
      <c r="F6" s="135">
        <v>2023</v>
      </c>
      <c r="G6" s="751"/>
      <c r="H6" s="177" t="s">
        <v>1082</v>
      </c>
      <c r="I6" s="177" t="s">
        <v>1083</v>
      </c>
      <c r="J6" s="177" t="s">
        <v>1084</v>
      </c>
      <c r="K6" s="177" t="s">
        <v>1085</v>
      </c>
      <c r="L6" s="177" t="s">
        <v>1086</v>
      </c>
      <c r="M6" s="177" t="s">
        <v>1087</v>
      </c>
    </row>
    <row r="7" spans="1:13" ht="21.75" customHeight="1">
      <c r="A7" s="21" t="s">
        <v>1088</v>
      </c>
      <c r="B7" s="349">
        <v>1</v>
      </c>
      <c r="C7" s="349">
        <v>0</v>
      </c>
      <c r="D7" s="349">
        <v>0</v>
      </c>
      <c r="E7" s="349">
        <v>0</v>
      </c>
      <c r="F7" s="349">
        <v>24</v>
      </c>
      <c r="G7" s="350" t="s">
        <v>1089</v>
      </c>
      <c r="H7" s="351">
        <v>4268</v>
      </c>
      <c r="I7" s="351">
        <v>4268</v>
      </c>
      <c r="J7" s="351">
        <v>4268</v>
      </c>
      <c r="K7" s="351">
        <v>4268</v>
      </c>
      <c r="L7" s="351">
        <v>4264</v>
      </c>
      <c r="M7" s="351">
        <v>4264</v>
      </c>
    </row>
    <row r="8" spans="1:13" ht="21.75" customHeight="1">
      <c r="A8" s="21" t="s">
        <v>691</v>
      </c>
      <c r="B8" s="349">
        <v>1</v>
      </c>
      <c r="C8" s="349">
        <v>1</v>
      </c>
      <c r="D8" s="349">
        <v>0</v>
      </c>
      <c r="E8" s="349">
        <v>0</v>
      </c>
      <c r="F8" s="349">
        <v>5</v>
      </c>
      <c r="G8" s="350" t="s">
        <v>691</v>
      </c>
      <c r="H8" s="351">
        <v>5152</v>
      </c>
      <c r="I8" s="351">
        <v>5152</v>
      </c>
      <c r="J8" s="351">
        <v>5152</v>
      </c>
      <c r="K8" s="351">
        <v>5152</v>
      </c>
      <c r="L8" s="351">
        <v>5152</v>
      </c>
      <c r="M8" s="351">
        <v>5152</v>
      </c>
    </row>
    <row r="9" spans="1:13" ht="21.75" customHeight="1">
      <c r="A9" s="21" t="s">
        <v>680</v>
      </c>
      <c r="B9" s="349">
        <v>0</v>
      </c>
      <c r="C9" s="349">
        <v>0</v>
      </c>
      <c r="D9" s="349">
        <v>0</v>
      </c>
      <c r="E9" s="349">
        <v>0</v>
      </c>
      <c r="F9" s="349">
        <v>8</v>
      </c>
      <c r="G9" s="350" t="s">
        <v>680</v>
      </c>
      <c r="H9" s="351">
        <v>6851</v>
      </c>
      <c r="I9" s="351">
        <v>6851</v>
      </c>
      <c r="J9" s="351">
        <v>4280</v>
      </c>
      <c r="K9" s="351">
        <v>4267</v>
      </c>
      <c r="L9" s="351">
        <v>4191.2700000000004</v>
      </c>
      <c r="M9" s="351">
        <v>6847</v>
      </c>
    </row>
    <row r="10" spans="1:13" ht="21.75" customHeight="1">
      <c r="A10" s="21" t="s">
        <v>690</v>
      </c>
      <c r="B10" s="349">
        <v>1</v>
      </c>
      <c r="C10" s="349">
        <v>0</v>
      </c>
      <c r="D10" s="349">
        <v>0</v>
      </c>
      <c r="E10" s="349">
        <v>0</v>
      </c>
      <c r="F10" s="350" t="s">
        <v>1090</v>
      </c>
      <c r="G10" s="350" t="s">
        <v>690</v>
      </c>
      <c r="H10" s="351">
        <v>4583</v>
      </c>
      <c r="I10" s="351">
        <v>4484</v>
      </c>
      <c r="J10" s="351">
        <v>4729</v>
      </c>
      <c r="K10" s="351">
        <v>4701</v>
      </c>
      <c r="L10" s="351">
        <v>4692</v>
      </c>
      <c r="M10" s="351">
        <v>4496</v>
      </c>
    </row>
    <row r="11" spans="1:13" ht="21.75" customHeight="1">
      <c r="A11" s="21" t="s">
        <v>678</v>
      </c>
      <c r="B11" s="349">
        <v>0</v>
      </c>
      <c r="C11" s="349">
        <v>0</v>
      </c>
      <c r="D11" s="349">
        <v>0</v>
      </c>
      <c r="E11" s="349">
        <v>0</v>
      </c>
      <c r="F11" s="349">
        <v>0</v>
      </c>
      <c r="G11" s="350" t="s">
        <v>678</v>
      </c>
      <c r="H11" s="351">
        <v>2119</v>
      </c>
      <c r="I11" s="351">
        <v>2141</v>
      </c>
      <c r="J11" s="351">
        <v>2114</v>
      </c>
      <c r="K11" s="351">
        <v>2065</v>
      </c>
      <c r="L11" s="351">
        <v>1968</v>
      </c>
      <c r="M11" s="350" t="s">
        <v>1091</v>
      </c>
    </row>
    <row r="12" spans="1:13" ht="21.75" customHeight="1">
      <c r="A12" s="21" t="s">
        <v>1048</v>
      </c>
      <c r="B12" s="349">
        <v>0</v>
      </c>
      <c r="C12" s="349">
        <v>0</v>
      </c>
      <c r="D12" s="349">
        <v>0</v>
      </c>
      <c r="E12" s="349">
        <v>0</v>
      </c>
      <c r="F12" s="349">
        <v>0</v>
      </c>
      <c r="G12" s="350" t="s">
        <v>1048</v>
      </c>
      <c r="H12" s="351">
        <v>2477</v>
      </c>
      <c r="I12" s="351">
        <v>2448</v>
      </c>
      <c r="J12" s="351">
        <v>2407</v>
      </c>
      <c r="K12" s="351">
        <v>2453</v>
      </c>
      <c r="L12" s="351">
        <v>2375</v>
      </c>
      <c r="M12" s="351">
        <v>2231</v>
      </c>
    </row>
    <row r="13" spans="1:13" ht="21.75" customHeight="1">
      <c r="A13" s="21" t="s">
        <v>689</v>
      </c>
      <c r="B13" s="349">
        <v>0</v>
      </c>
      <c r="C13" s="349">
        <v>0</v>
      </c>
      <c r="D13" s="349">
        <v>0</v>
      </c>
      <c r="E13" s="349">
        <v>0</v>
      </c>
      <c r="F13" s="349">
        <v>0</v>
      </c>
      <c r="G13" s="350" t="s">
        <v>689</v>
      </c>
      <c r="H13" s="351">
        <v>2224</v>
      </c>
      <c r="I13" s="351">
        <v>2076</v>
      </c>
      <c r="J13" s="351">
        <v>2046</v>
      </c>
      <c r="K13" s="351">
        <v>2930</v>
      </c>
      <c r="L13" s="351">
        <v>2930</v>
      </c>
      <c r="M13" s="350" t="s">
        <v>625</v>
      </c>
    </row>
    <row r="14" spans="1:13" ht="21.75" customHeight="1">
      <c r="A14" s="25" t="s">
        <v>746</v>
      </c>
      <c r="B14" s="352">
        <v>0</v>
      </c>
      <c r="C14" s="352">
        <v>1</v>
      </c>
      <c r="D14" s="352">
        <v>0</v>
      </c>
      <c r="E14" s="352">
        <v>0</v>
      </c>
      <c r="F14" s="352">
        <v>55</v>
      </c>
      <c r="G14" s="353" t="s">
        <v>746</v>
      </c>
      <c r="H14" s="352">
        <v>913</v>
      </c>
      <c r="I14" s="352">
        <v>913</v>
      </c>
      <c r="J14" s="352">
        <v>897</v>
      </c>
      <c r="K14" s="354">
        <v>897</v>
      </c>
      <c r="L14" s="354">
        <v>897</v>
      </c>
      <c r="M14" s="354">
        <v>891</v>
      </c>
    </row>
    <row r="15" spans="1:13" ht="21.75" customHeight="1">
      <c r="A15" s="355" t="s">
        <v>626</v>
      </c>
      <c r="B15" s="356">
        <v>3</v>
      </c>
      <c r="C15" s="357">
        <v>2</v>
      </c>
      <c r="D15" s="356">
        <v>0</v>
      </c>
      <c r="E15" s="356">
        <v>0</v>
      </c>
      <c r="F15" s="356">
        <v>103</v>
      </c>
      <c r="G15" s="358" t="s">
        <v>626</v>
      </c>
      <c r="H15" s="359">
        <f>SUM(H7:H14)</f>
        <v>28587</v>
      </c>
      <c r="I15" s="359">
        <v>28333</v>
      </c>
      <c r="J15" s="359">
        <f>SUM(J7:J14)</f>
        <v>25893</v>
      </c>
      <c r="K15" s="359">
        <f>SUM(K7:K14)</f>
        <v>26733</v>
      </c>
      <c r="L15" s="359">
        <v>26469</v>
      </c>
      <c r="M15" s="359">
        <f>SUM(M7:M14)</f>
        <v>23881</v>
      </c>
    </row>
    <row r="16" spans="1:13" ht="21.75" customHeight="1">
      <c r="A16" s="743" t="s">
        <v>1092</v>
      </c>
      <c r="B16" s="743"/>
      <c r="C16" s="743"/>
      <c r="D16" s="743"/>
      <c r="E16" s="743"/>
      <c r="F16" s="743"/>
      <c r="G16" s="743"/>
      <c r="H16" s="743"/>
      <c r="I16" s="743"/>
      <c r="J16" s="743"/>
      <c r="K16" s="743"/>
      <c r="L16" s="743"/>
      <c r="M16" s="743"/>
    </row>
    <row r="17" spans="1:13" ht="21.75" customHeight="1">
      <c r="A17" s="740" t="s">
        <v>1093</v>
      </c>
      <c r="B17" s="685"/>
      <c r="C17" s="685"/>
      <c r="D17" s="685"/>
      <c r="E17" s="685"/>
      <c r="F17" s="685"/>
      <c r="G17" s="685"/>
      <c r="H17" s="685"/>
      <c r="I17" s="685"/>
      <c r="J17" s="685"/>
      <c r="K17" s="685"/>
      <c r="L17" s="685"/>
      <c r="M17" s="685"/>
    </row>
    <row r="18" spans="1:13" ht="21.75" customHeight="1">
      <c r="A18" s="740" t="s">
        <v>1094</v>
      </c>
      <c r="B18" s="685"/>
      <c r="C18" s="685"/>
      <c r="D18" s="685"/>
      <c r="E18" s="685"/>
      <c r="F18" s="685"/>
      <c r="G18" s="685"/>
      <c r="H18" s="685"/>
      <c r="I18" s="685"/>
      <c r="J18" s="685"/>
      <c r="K18" s="740"/>
      <c r="L18" s="685"/>
      <c r="M18" s="685"/>
    </row>
    <row r="19" spans="1:13" ht="21.75" customHeight="1">
      <c r="A19" s="740" t="s">
        <v>1095</v>
      </c>
      <c r="B19" s="685"/>
      <c r="C19" s="685"/>
      <c r="D19" s="685"/>
      <c r="E19" s="685"/>
      <c r="F19" s="685"/>
      <c r="G19" s="685"/>
      <c r="H19" s="685"/>
      <c r="I19" s="685"/>
      <c r="J19" s="685"/>
      <c r="K19" s="740"/>
      <c r="L19" s="685"/>
      <c r="M19" s="685"/>
    </row>
    <row r="20" spans="1:13" ht="21.75" customHeight="1">
      <c r="A20" s="360" t="s">
        <v>1096</v>
      </c>
      <c r="K20" s="350"/>
    </row>
    <row r="21" spans="1:13" ht="21.75" customHeight="1">
      <c r="A21" s="21"/>
      <c r="K21" s="21"/>
    </row>
    <row r="22" spans="1:13" ht="21.75" customHeight="1">
      <c r="A22" s="134" t="s">
        <v>1097</v>
      </c>
      <c r="B22" s="134"/>
      <c r="C22" s="134"/>
      <c r="D22" s="134"/>
      <c r="E22" s="134"/>
    </row>
    <row r="23" spans="1:13" ht="33.25" customHeight="1">
      <c r="A23" s="745" t="s">
        <v>1098</v>
      </c>
      <c r="B23" s="745"/>
      <c r="C23" s="745"/>
      <c r="D23" s="745"/>
      <c r="E23" s="745"/>
    </row>
    <row r="24" spans="1:13" ht="106.75" customHeight="1">
      <c r="A24" s="134" t="s">
        <v>1075</v>
      </c>
      <c r="B24" s="177" t="s">
        <v>1099</v>
      </c>
      <c r="C24" s="177" t="s">
        <v>1100</v>
      </c>
      <c r="D24" s="177" t="s">
        <v>1101</v>
      </c>
      <c r="E24" s="177" t="s">
        <v>1102</v>
      </c>
    </row>
    <row r="25" spans="1:13" ht="21.75" customHeight="1">
      <c r="A25" s="21" t="s">
        <v>604</v>
      </c>
      <c r="B25" s="349">
        <v>1</v>
      </c>
      <c r="C25" s="349">
        <v>1</v>
      </c>
      <c r="D25" s="349">
        <v>1</v>
      </c>
      <c r="E25" s="349">
        <v>1</v>
      </c>
    </row>
    <row r="26" spans="1:13" ht="21.75" customHeight="1">
      <c r="A26" s="21" t="s">
        <v>691</v>
      </c>
      <c r="B26" s="349">
        <v>1</v>
      </c>
      <c r="C26" s="349">
        <v>1</v>
      </c>
      <c r="D26" s="349">
        <v>1</v>
      </c>
      <c r="E26" s="349">
        <v>1</v>
      </c>
    </row>
    <row r="27" spans="1:13" ht="21.75" customHeight="1">
      <c r="A27" s="21" t="s">
        <v>680</v>
      </c>
      <c r="B27" s="349">
        <v>1</v>
      </c>
      <c r="C27" s="349">
        <v>1</v>
      </c>
      <c r="D27" s="349">
        <v>1</v>
      </c>
      <c r="E27" s="349">
        <v>1</v>
      </c>
    </row>
    <row r="28" spans="1:13" ht="21.75" customHeight="1">
      <c r="A28" s="21" t="s">
        <v>690</v>
      </c>
      <c r="B28" s="349">
        <v>1</v>
      </c>
      <c r="C28" s="349">
        <v>1</v>
      </c>
      <c r="D28" s="349">
        <v>1</v>
      </c>
      <c r="E28" s="349">
        <v>1</v>
      </c>
    </row>
    <row r="29" spans="1:13" ht="21.75" customHeight="1">
      <c r="A29" s="21" t="s">
        <v>678</v>
      </c>
      <c r="B29" s="349">
        <v>1</v>
      </c>
      <c r="C29" s="349">
        <v>1</v>
      </c>
      <c r="D29" s="349">
        <v>1</v>
      </c>
      <c r="E29" s="349">
        <v>1</v>
      </c>
    </row>
    <row r="30" spans="1:13" ht="21.75" customHeight="1">
      <c r="A30" s="644" t="s">
        <v>1048</v>
      </c>
      <c r="B30" s="349">
        <v>1</v>
      </c>
      <c r="C30" s="349">
        <v>1</v>
      </c>
      <c r="D30" s="349">
        <v>0</v>
      </c>
      <c r="E30" s="349">
        <v>0</v>
      </c>
    </row>
    <row r="31" spans="1:13" ht="21.75" customHeight="1">
      <c r="A31" s="21" t="s">
        <v>689</v>
      </c>
      <c r="B31" s="349">
        <v>1</v>
      </c>
      <c r="C31" s="349">
        <v>1</v>
      </c>
      <c r="D31" s="349">
        <v>1</v>
      </c>
      <c r="E31" s="349">
        <v>1</v>
      </c>
    </row>
    <row r="32" spans="1:13" ht="21.75" customHeight="1">
      <c r="A32" s="25" t="s">
        <v>746</v>
      </c>
      <c r="B32" s="352">
        <v>1</v>
      </c>
      <c r="C32" s="352">
        <v>1</v>
      </c>
      <c r="D32" s="352">
        <v>1</v>
      </c>
      <c r="E32" s="352">
        <v>1</v>
      </c>
    </row>
    <row r="33" spans="1:13" ht="21.75" customHeight="1">
      <c r="A33" s="361" t="s">
        <v>626</v>
      </c>
      <c r="B33" s="356">
        <v>8</v>
      </c>
      <c r="C33" s="356">
        <f>SUM(C25:C32)</f>
        <v>8</v>
      </c>
      <c r="D33" s="356">
        <f>SUM(D25:D32)</f>
        <v>7</v>
      </c>
      <c r="E33" s="356">
        <f>SUM(E25:E32)</f>
        <v>7</v>
      </c>
    </row>
    <row r="34" spans="1:13" ht="21.75" customHeight="1">
      <c r="A34" s="755" t="s">
        <v>1103</v>
      </c>
      <c r="B34" s="755"/>
      <c r="C34" s="755"/>
      <c r="D34" s="755"/>
      <c r="E34" s="755"/>
      <c r="F34" s="685"/>
    </row>
    <row r="35" spans="1:13" ht="21.75" customHeight="1"/>
    <row r="36" spans="1:13" ht="21.75" customHeight="1">
      <c r="A36" s="754" t="s">
        <v>1104</v>
      </c>
      <c r="B36" s="685"/>
      <c r="C36" s="685"/>
      <c r="D36" s="685"/>
      <c r="E36" s="685"/>
      <c r="F36" s="685"/>
    </row>
    <row r="37" spans="1:13" ht="21.75" customHeight="1"/>
    <row r="38" spans="1:13" ht="21.75" customHeight="1">
      <c r="A38" s="753" t="s">
        <v>1105</v>
      </c>
      <c r="B38" s="753"/>
      <c r="C38" s="753"/>
      <c r="D38" s="753"/>
      <c r="E38" s="753"/>
      <c r="F38" s="753"/>
      <c r="G38" s="753"/>
      <c r="H38" s="753"/>
      <c r="I38" s="753"/>
      <c r="J38" s="753"/>
      <c r="K38" s="753"/>
      <c r="L38" s="753"/>
      <c r="M38" s="753"/>
    </row>
    <row r="39" spans="1:13" ht="26.75" customHeight="1">
      <c r="A39" s="134" t="s">
        <v>1075</v>
      </c>
      <c r="B39" s="177" t="s">
        <v>1106</v>
      </c>
    </row>
    <row r="40" spans="1:13" ht="21.75" customHeight="1">
      <c r="A40" s="21" t="s">
        <v>604</v>
      </c>
      <c r="B40" s="350" t="s">
        <v>1107</v>
      </c>
    </row>
    <row r="41" spans="1:13" ht="21.75" customHeight="1">
      <c r="A41" s="21" t="s">
        <v>691</v>
      </c>
      <c r="B41" s="350" t="s">
        <v>1108</v>
      </c>
    </row>
    <row r="42" spans="1:13" ht="21.75" customHeight="1">
      <c r="A42" s="21" t="s">
        <v>680</v>
      </c>
      <c r="B42" s="350" t="s">
        <v>1108</v>
      </c>
    </row>
    <row r="43" spans="1:13" ht="21.75" customHeight="1">
      <c r="A43" s="21" t="s">
        <v>690</v>
      </c>
      <c r="B43" s="350" t="s">
        <v>1108</v>
      </c>
    </row>
    <row r="44" spans="1:13" ht="21.75" customHeight="1">
      <c r="A44" s="21" t="s">
        <v>678</v>
      </c>
      <c r="B44" s="350" t="s">
        <v>1108</v>
      </c>
    </row>
    <row r="45" spans="1:13" ht="21.75" customHeight="1">
      <c r="A45" s="21" t="s">
        <v>1048</v>
      </c>
      <c r="B45" s="350" t="s">
        <v>1108</v>
      </c>
    </row>
    <row r="46" spans="1:13" ht="21.75" customHeight="1">
      <c r="A46" s="21" t="s">
        <v>689</v>
      </c>
      <c r="B46" s="350" t="s">
        <v>1108</v>
      </c>
    </row>
    <row r="47" spans="1:13" ht="21.75" customHeight="1">
      <c r="A47" s="25" t="s">
        <v>746</v>
      </c>
      <c r="B47" s="353" t="s">
        <v>1107</v>
      </c>
    </row>
    <row r="48" spans="1:13" ht="21.75" customHeight="1">
      <c r="A48" s="362" t="s">
        <v>626</v>
      </c>
      <c r="B48" s="633" t="s">
        <v>1109</v>
      </c>
    </row>
    <row r="49" spans="1:6" ht="36.75" customHeight="1">
      <c r="A49" s="363" t="s">
        <v>1110</v>
      </c>
      <c r="B49" s="366"/>
    </row>
    <row r="50" spans="1:6" ht="13.25" customHeight="1">
      <c r="A50" s="19"/>
      <c r="B50" s="19"/>
    </row>
    <row r="51" spans="1:6" ht="21.75" customHeight="1">
      <c r="A51" s="134" t="s">
        <v>1111</v>
      </c>
      <c r="B51" s="134"/>
      <c r="C51" s="134"/>
      <c r="D51" s="134"/>
      <c r="E51" s="134"/>
      <c r="F51" s="134"/>
    </row>
    <row r="52" spans="1:6" ht="106.75" customHeight="1">
      <c r="A52" s="756" t="s">
        <v>1112</v>
      </c>
      <c r="B52" s="685"/>
      <c r="C52" s="685"/>
      <c r="D52" s="685"/>
      <c r="E52" s="685"/>
      <c r="F52" s="685"/>
    </row>
    <row r="53" spans="1:6" ht="25.75" customHeight="1">
      <c r="A53" s="754" t="s">
        <v>1113</v>
      </c>
      <c r="B53" s="685"/>
      <c r="C53" s="685"/>
      <c r="D53" s="685"/>
      <c r="E53" s="685"/>
      <c r="F53" s="685"/>
    </row>
    <row r="54" spans="1:6" ht="21.75" customHeight="1">
      <c r="A54" s="756" t="s">
        <v>1114</v>
      </c>
      <c r="B54" s="685"/>
      <c r="C54" s="685"/>
      <c r="D54" s="685"/>
      <c r="E54" s="685"/>
      <c r="F54" s="685"/>
    </row>
    <row r="55" spans="1:6" ht="21.75" customHeight="1">
      <c r="A55" s="756" t="s">
        <v>1115</v>
      </c>
      <c r="B55" s="685"/>
      <c r="C55" s="685"/>
      <c r="D55" s="685"/>
    </row>
    <row r="56" spans="1:6" ht="25.75" customHeight="1">
      <c r="A56" s="756"/>
      <c r="B56" s="685"/>
      <c r="C56" s="685"/>
      <c r="D56" s="685"/>
      <c r="E56" s="685"/>
      <c r="F56" s="685"/>
    </row>
    <row r="57" spans="1:6" ht="21.75" customHeight="1">
      <c r="A57" s="364"/>
    </row>
    <row r="58" spans="1:6" ht="21.75" customHeight="1">
      <c r="A58" s="1"/>
    </row>
    <row r="59" spans="1:6" ht="21.75" customHeight="1">
      <c r="A59" s="51"/>
    </row>
  </sheetData>
  <sheetProtection algorithmName="SHA-512" hashValue="lkcPfHBkbrLHSOvPZWlOdKSP5HwT8e1C7YQq8XxeMG3maxv7OaO1vn4V5/hbWy9JXysJmvCcrMAJgRq1H9E/sg==" saltValue="yzcQGmXNXZPdUwwvUZOWmg==" spinCount="100000" sheet="1" objects="1" scenarios="1"/>
  <mergeCells count="17">
    <mergeCell ref="A52:F52"/>
    <mergeCell ref="A55:D55"/>
    <mergeCell ref="A56:F56"/>
    <mergeCell ref="A54:F54"/>
    <mergeCell ref="A53:F53"/>
    <mergeCell ref="A17:M17"/>
    <mergeCell ref="A18:M18"/>
    <mergeCell ref="A19:M19"/>
    <mergeCell ref="A23:E23"/>
    <mergeCell ref="A38:M38"/>
    <mergeCell ref="A36:F36"/>
    <mergeCell ref="A34:F34"/>
    <mergeCell ref="G5:G6"/>
    <mergeCell ref="A3:M3"/>
    <mergeCell ref="G4:M4"/>
    <mergeCell ref="H5:M5"/>
    <mergeCell ref="A16:M16"/>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50"/>
  <sheetViews>
    <sheetView showGridLines="0" showRuler="0" topLeftCell="A7" workbookViewId="0">
      <selection activeCell="B39" sqref="B39:C48"/>
    </sheetView>
  </sheetViews>
  <sheetFormatPr baseColWidth="10" defaultColWidth="12.83203125" defaultRowHeight="13"/>
  <cols>
    <col min="1" max="1" width="55.1640625" customWidth="1"/>
    <col min="2" max="2" width="16.33203125" customWidth="1"/>
    <col min="3" max="5" width="14.33203125" customWidth="1"/>
    <col min="6" max="6" width="15.33203125" customWidth="1"/>
    <col min="7" max="12" width="14.33203125" customWidth="1"/>
  </cols>
  <sheetData>
    <row r="1" spans="1:6" ht="21.75" customHeight="1">
      <c r="A1" s="134" t="s">
        <v>1116</v>
      </c>
      <c r="B1" s="134"/>
    </row>
    <row r="2" spans="1:6" ht="21.75" customHeight="1"/>
    <row r="3" spans="1:6" ht="14.25" customHeight="1">
      <c r="A3" s="134" t="s">
        <v>1117</v>
      </c>
      <c r="B3" s="135">
        <v>8</v>
      </c>
      <c r="F3" s="21"/>
    </row>
    <row r="4" spans="1:6" ht="24.25" customHeight="1">
      <c r="A4" s="258" t="s">
        <v>1118</v>
      </c>
      <c r="B4" s="67">
        <v>8</v>
      </c>
      <c r="F4" s="21"/>
    </row>
    <row r="5" spans="1:6" ht="21.75" customHeight="1">
      <c r="A5" s="45" t="s">
        <v>1119</v>
      </c>
      <c r="B5" s="45"/>
    </row>
    <row r="6" spans="1:6" ht="21.75" customHeight="1">
      <c r="A6" s="757" t="s">
        <v>689</v>
      </c>
      <c r="B6" s="757"/>
      <c r="C6" s="685"/>
      <c r="D6" s="685"/>
      <c r="E6" s="685"/>
      <c r="F6" s="685"/>
    </row>
    <row r="7" spans="1:6" ht="21.75" customHeight="1">
      <c r="A7" s="741" t="s">
        <v>1048</v>
      </c>
      <c r="B7" s="685"/>
      <c r="C7" s="685"/>
      <c r="D7" s="685"/>
      <c r="E7" s="685"/>
      <c r="F7" s="685"/>
    </row>
    <row r="8" spans="1:6" ht="21.75" customHeight="1">
      <c r="A8" s="741" t="s">
        <v>690</v>
      </c>
      <c r="B8" s="685"/>
      <c r="C8" s="685"/>
      <c r="D8" s="685"/>
      <c r="E8" s="685"/>
      <c r="F8" s="685"/>
    </row>
    <row r="9" spans="1:6" ht="21.75" customHeight="1">
      <c r="A9" s="741" t="s">
        <v>678</v>
      </c>
      <c r="B9" s="685"/>
      <c r="C9" s="685"/>
      <c r="D9" s="685"/>
      <c r="E9" s="685"/>
      <c r="F9" s="685"/>
    </row>
    <row r="10" spans="1:6" ht="21.75" customHeight="1">
      <c r="A10" s="741" t="s">
        <v>604</v>
      </c>
      <c r="B10" s="685"/>
      <c r="C10" s="685"/>
      <c r="D10" s="685"/>
      <c r="E10" s="685"/>
      <c r="F10" s="685"/>
    </row>
    <row r="11" spans="1:6" ht="21.75" customHeight="1">
      <c r="A11" s="741" t="s">
        <v>691</v>
      </c>
      <c r="B11" s="685"/>
      <c r="C11" s="685"/>
      <c r="D11" s="685"/>
      <c r="E11" s="685"/>
      <c r="F11" s="685"/>
    </row>
    <row r="12" spans="1:6" ht="21.75" customHeight="1">
      <c r="A12" s="741" t="s">
        <v>680</v>
      </c>
      <c r="B12" s="685"/>
      <c r="C12" s="685"/>
      <c r="D12" s="685"/>
      <c r="E12" s="685"/>
      <c r="F12" s="685"/>
    </row>
    <row r="13" spans="1:6" ht="21.75" customHeight="1">
      <c r="A13" s="759" t="s">
        <v>746</v>
      </c>
      <c r="B13" s="685"/>
      <c r="C13" s="685"/>
      <c r="D13" s="685"/>
      <c r="E13" s="685"/>
      <c r="F13" s="685"/>
    </row>
    <row r="14" spans="1:6" ht="21.75" customHeight="1">
      <c r="A14" s="45" t="s">
        <v>1120</v>
      </c>
      <c r="B14" s="367">
        <v>1</v>
      </c>
      <c r="F14" s="21"/>
    </row>
    <row r="15" spans="1:6" ht="21.75" customHeight="1">
      <c r="A15" s="760" t="s">
        <v>1121</v>
      </c>
      <c r="B15" s="760"/>
      <c r="C15" s="685"/>
      <c r="D15" s="685"/>
      <c r="E15" s="685"/>
      <c r="F15" s="685"/>
    </row>
    <row r="16" spans="1:6" ht="13.25" customHeight="1"/>
    <row r="17" spans="1:9" ht="21.75" customHeight="1">
      <c r="A17" s="144" t="s">
        <v>1122</v>
      </c>
    </row>
    <row r="18" spans="1:9" ht="21.75" customHeight="1">
      <c r="A18" s="134" t="s">
        <v>1123</v>
      </c>
      <c r="B18" s="135">
        <v>2023</v>
      </c>
      <c r="C18" s="135">
        <v>2022</v>
      </c>
      <c r="D18" s="135">
        <v>2021</v>
      </c>
      <c r="E18" s="135">
        <v>2020</v>
      </c>
      <c r="F18" s="135">
        <v>2019</v>
      </c>
      <c r="G18" s="135">
        <v>2018</v>
      </c>
    </row>
    <row r="19" spans="1:9" ht="21.75" customHeight="1">
      <c r="A19" s="21" t="s">
        <v>1124</v>
      </c>
      <c r="B19" s="35">
        <v>230</v>
      </c>
      <c r="C19" s="35">
        <v>215</v>
      </c>
      <c r="D19" s="35">
        <v>214</v>
      </c>
      <c r="E19" s="35">
        <v>219</v>
      </c>
      <c r="F19" s="35">
        <v>198</v>
      </c>
      <c r="G19" s="35">
        <v>178</v>
      </c>
    </row>
    <row r="20" spans="1:9" ht="21.75" customHeight="1">
      <c r="A20" s="21" t="s">
        <v>1125</v>
      </c>
      <c r="B20" s="35">
        <v>44</v>
      </c>
      <c r="C20" s="35">
        <v>47</v>
      </c>
      <c r="D20" s="35">
        <v>41</v>
      </c>
      <c r="E20" s="35">
        <v>44</v>
      </c>
      <c r="F20" s="35">
        <v>46</v>
      </c>
      <c r="G20" s="24" t="s">
        <v>1126</v>
      </c>
    </row>
    <row r="21" spans="1:9" ht="21.75" customHeight="1">
      <c r="A21" s="21" t="s">
        <v>1127</v>
      </c>
      <c r="B21" s="35">
        <v>107</v>
      </c>
      <c r="C21" s="35">
        <v>101</v>
      </c>
      <c r="D21" s="35">
        <v>99</v>
      </c>
      <c r="E21" s="35">
        <v>104</v>
      </c>
      <c r="F21" s="35">
        <v>106</v>
      </c>
      <c r="G21" s="24" t="s">
        <v>1128</v>
      </c>
    </row>
    <row r="22" spans="1:9" ht="21.75" customHeight="1">
      <c r="A22" s="25" t="s">
        <v>1129</v>
      </c>
      <c r="B22" s="36">
        <v>216</v>
      </c>
      <c r="C22" s="36">
        <v>201</v>
      </c>
      <c r="D22" s="36">
        <v>156</v>
      </c>
      <c r="E22" s="36">
        <v>100</v>
      </c>
      <c r="F22" s="36">
        <v>87</v>
      </c>
      <c r="G22" s="90" t="s">
        <v>1130</v>
      </c>
    </row>
    <row r="23" spans="1:9" ht="21.75" customHeight="1">
      <c r="A23" s="45" t="s">
        <v>1131</v>
      </c>
      <c r="B23" s="254">
        <f>SUM(B19:B22)</f>
        <v>597</v>
      </c>
      <c r="C23" s="254">
        <f>SUM(C19:C22)</f>
        <v>564</v>
      </c>
      <c r="D23" s="254">
        <v>510</v>
      </c>
      <c r="E23" s="254">
        <v>467</v>
      </c>
      <c r="F23" s="254">
        <v>436</v>
      </c>
      <c r="G23" s="28" t="s">
        <v>1132</v>
      </c>
    </row>
    <row r="24" spans="1:9" ht="21.75" customHeight="1">
      <c r="A24" s="738" t="s">
        <v>1133</v>
      </c>
      <c r="B24" s="738"/>
      <c r="C24" s="738"/>
      <c r="D24" s="738"/>
      <c r="E24" s="738"/>
      <c r="F24" s="738"/>
      <c r="G24" s="738"/>
      <c r="H24" s="685"/>
      <c r="I24" s="685"/>
    </row>
    <row r="25" spans="1:9" ht="21.75" customHeight="1">
      <c r="A25" s="740" t="s">
        <v>1134</v>
      </c>
      <c r="B25" s="685"/>
      <c r="C25" s="685"/>
      <c r="D25" s="685"/>
      <c r="E25" s="685"/>
      <c r="F25" s="685"/>
      <c r="G25" s="685"/>
      <c r="H25" s="685"/>
      <c r="I25" s="685"/>
    </row>
    <row r="26" spans="1:9" ht="21.75" customHeight="1"/>
    <row r="27" spans="1:9" ht="21.75" customHeight="1">
      <c r="A27" s="368" t="s">
        <v>1135</v>
      </c>
    </row>
    <row r="28" spans="1:9" ht="21.75" customHeight="1">
      <c r="A28" s="134" t="s">
        <v>1136</v>
      </c>
      <c r="B28" s="745"/>
      <c r="C28" s="745"/>
      <c r="D28" s="745"/>
      <c r="E28" s="745"/>
      <c r="F28" s="745"/>
      <c r="G28" s="745"/>
      <c r="H28" s="745"/>
    </row>
    <row r="29" spans="1:9" ht="21.75" customHeight="1">
      <c r="A29" s="134" t="s">
        <v>651</v>
      </c>
      <c r="B29" s="745" t="s">
        <v>1137</v>
      </c>
      <c r="C29" s="745"/>
      <c r="D29" s="745"/>
      <c r="E29" s="745"/>
      <c r="F29" s="745"/>
      <c r="G29" s="745"/>
      <c r="H29" s="745"/>
    </row>
    <row r="30" spans="1:9" ht="22.5" customHeight="1">
      <c r="A30" s="21" t="s">
        <v>1138</v>
      </c>
      <c r="B30" s="687" t="s">
        <v>1139</v>
      </c>
      <c r="C30" s="687"/>
      <c r="D30" s="685"/>
      <c r="E30" s="685"/>
      <c r="F30" s="685"/>
      <c r="G30" s="685"/>
      <c r="H30" s="685"/>
    </row>
    <row r="31" spans="1:9" ht="31.75" customHeight="1">
      <c r="A31" s="21" t="s">
        <v>1140</v>
      </c>
      <c r="B31" s="741" t="s">
        <v>1141</v>
      </c>
      <c r="C31" s="741"/>
      <c r="D31" s="685"/>
      <c r="E31" s="685"/>
      <c r="F31" s="685"/>
      <c r="G31" s="685"/>
      <c r="H31" s="685"/>
    </row>
    <row r="32" spans="1:9" ht="25" customHeight="1">
      <c r="A32" s="21" t="s">
        <v>1142</v>
      </c>
      <c r="B32" s="741" t="s">
        <v>1143</v>
      </c>
      <c r="C32" s="741"/>
      <c r="D32" s="685"/>
      <c r="E32" s="685"/>
      <c r="F32" s="685"/>
      <c r="G32" s="685"/>
      <c r="H32" s="685"/>
    </row>
    <row r="33" spans="1:8" ht="24.25" customHeight="1">
      <c r="A33" s="73" t="s">
        <v>1144</v>
      </c>
      <c r="B33" s="758" t="s">
        <v>1145</v>
      </c>
      <c r="C33" s="758"/>
      <c r="D33" s="685"/>
      <c r="E33" s="685"/>
      <c r="F33" s="685"/>
      <c r="G33" s="685"/>
      <c r="H33" s="685"/>
    </row>
    <row r="34" spans="1:8" ht="21.75" customHeight="1">
      <c r="A34" s="103"/>
      <c r="B34" s="103"/>
      <c r="C34" s="103"/>
      <c r="D34" s="103"/>
      <c r="E34" s="103"/>
      <c r="F34" s="103"/>
      <c r="G34" s="103"/>
      <c r="H34" s="103"/>
    </row>
    <row r="35" spans="1:8" ht="21.75" customHeight="1">
      <c r="A35" s="368" t="s">
        <v>1146</v>
      </c>
    </row>
    <row r="36" spans="1:8" ht="21.75" customHeight="1">
      <c r="A36" s="752" t="s">
        <v>1147</v>
      </c>
      <c r="B36" s="685"/>
      <c r="C36" s="685"/>
      <c r="D36" s="685"/>
      <c r="E36" s="685"/>
      <c r="F36" s="685"/>
    </row>
    <row r="37" spans="1:8" ht="40" customHeight="1">
      <c r="A37" s="258" t="s">
        <v>1148</v>
      </c>
      <c r="B37" s="369" t="s">
        <v>1149</v>
      </c>
      <c r="C37" s="369" t="s">
        <v>1150</v>
      </c>
      <c r="E37" s="1"/>
      <c r="F37" s="1"/>
    </row>
    <row r="38" spans="1:8" ht="21.75" customHeight="1">
      <c r="A38" s="45" t="s">
        <v>638</v>
      </c>
      <c r="B38" s="277"/>
      <c r="C38" s="277"/>
    </row>
    <row r="39" spans="1:8" ht="21.75" customHeight="1">
      <c r="A39" s="19" t="s">
        <v>689</v>
      </c>
      <c r="B39" s="635">
        <v>0.85</v>
      </c>
      <c r="C39" s="635">
        <v>0.93</v>
      </c>
      <c r="E39" s="1"/>
      <c r="F39" s="1"/>
    </row>
    <row r="40" spans="1:8" ht="21.75" customHeight="1">
      <c r="A40" s="21" t="s">
        <v>676</v>
      </c>
      <c r="B40" s="625">
        <v>0.85</v>
      </c>
      <c r="C40" s="625">
        <v>0.85</v>
      </c>
      <c r="E40" s="1"/>
      <c r="F40" s="1"/>
    </row>
    <row r="41" spans="1:8" ht="21.75" customHeight="1">
      <c r="A41" s="21" t="s">
        <v>690</v>
      </c>
      <c r="B41" s="625">
        <v>0.85</v>
      </c>
      <c r="C41" s="625">
        <v>0.89</v>
      </c>
      <c r="E41" s="1"/>
      <c r="F41" s="1"/>
    </row>
    <row r="42" spans="1:8" ht="21.75" customHeight="1">
      <c r="A42" s="25" t="s">
        <v>678</v>
      </c>
      <c r="B42" s="623">
        <v>0.85</v>
      </c>
      <c r="C42" s="623">
        <v>0.85</v>
      </c>
      <c r="E42" s="1"/>
      <c r="F42" s="1"/>
    </row>
    <row r="43" spans="1:8" ht="21.75" customHeight="1">
      <c r="A43" s="45" t="s">
        <v>645</v>
      </c>
      <c r="B43" s="631"/>
      <c r="C43" s="631"/>
    </row>
    <row r="44" spans="1:8" ht="21.75" customHeight="1">
      <c r="A44" s="19" t="s">
        <v>691</v>
      </c>
      <c r="B44" s="635">
        <v>0.85</v>
      </c>
      <c r="C44" s="635">
        <v>0.81</v>
      </c>
      <c r="E44" s="1"/>
      <c r="F44" s="1"/>
    </row>
    <row r="45" spans="1:8" ht="21.75" customHeight="1">
      <c r="A45" s="25" t="s">
        <v>680</v>
      </c>
      <c r="B45" s="623">
        <v>0.85</v>
      </c>
      <c r="C45" s="623">
        <v>0.85</v>
      </c>
      <c r="E45" s="1"/>
      <c r="F45" s="1"/>
    </row>
    <row r="46" spans="1:8" ht="21.75" customHeight="1">
      <c r="A46" s="45" t="s">
        <v>604</v>
      </c>
      <c r="B46" s="631">
        <v>0.85</v>
      </c>
      <c r="C46" s="631">
        <v>0.8</v>
      </c>
      <c r="E46" s="1"/>
      <c r="F46" s="1"/>
    </row>
    <row r="47" spans="1:8" ht="21.75" customHeight="1">
      <c r="A47" s="46" t="s">
        <v>746</v>
      </c>
      <c r="B47" s="636">
        <v>0.85</v>
      </c>
      <c r="C47" s="636">
        <v>0.82</v>
      </c>
      <c r="E47" s="1"/>
      <c r="F47" s="1"/>
    </row>
    <row r="48" spans="1:8" ht="21.75" customHeight="1">
      <c r="A48" s="46" t="s">
        <v>1151</v>
      </c>
      <c r="B48" s="636"/>
      <c r="C48" s="636">
        <v>0.85</v>
      </c>
      <c r="F48" s="1"/>
    </row>
    <row r="49" spans="1:6" ht="21.75" customHeight="1">
      <c r="A49" s="738" t="s">
        <v>1152</v>
      </c>
      <c r="B49" s="738"/>
      <c r="C49" s="738"/>
      <c r="D49" s="685"/>
      <c r="E49" s="685"/>
      <c r="F49" s="685"/>
    </row>
    <row r="50" spans="1:6" ht="15" customHeight="1"/>
  </sheetData>
  <sheetProtection algorithmName="SHA-512" hashValue="blO88bf6aXDJzWcb/gZaIX99U5tpajlt9kXxJgu0Rv4z+SEwHtt9OnNy1JWUGEbbQLCkQVF19jF2TujP/RSp7w==" saltValue="TFgDQJD2PkGOV04/u07n6A==" spinCount="100000" sheet="1" objects="1" scenarios="1"/>
  <mergeCells count="19">
    <mergeCell ref="A36:F36"/>
    <mergeCell ref="A49:F49"/>
    <mergeCell ref="B31:H31"/>
    <mergeCell ref="B32:H32"/>
    <mergeCell ref="B28:H28"/>
    <mergeCell ref="A25:I25"/>
    <mergeCell ref="B33:H33"/>
    <mergeCell ref="A13:F13"/>
    <mergeCell ref="A15:F15"/>
    <mergeCell ref="A24:I24"/>
    <mergeCell ref="B29:H29"/>
    <mergeCell ref="B30:H30"/>
    <mergeCell ref="A7:F7"/>
    <mergeCell ref="A8:F8"/>
    <mergeCell ref="A6:F6"/>
    <mergeCell ref="A12:F12"/>
    <mergeCell ref="A11:F11"/>
    <mergeCell ref="A9:F9"/>
    <mergeCell ref="A10:F10"/>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850"/>
  <sheetViews>
    <sheetView showGridLines="0" showRuler="0" zoomScale="150" zoomScaleNormal="150" workbookViewId="0">
      <selection activeCell="E8" sqref="E8"/>
    </sheetView>
  </sheetViews>
  <sheetFormatPr baseColWidth="10" defaultColWidth="12.83203125" defaultRowHeight="13"/>
  <cols>
    <col min="1" max="1" width="21.1640625" style="516" customWidth="1"/>
    <col min="2" max="2" width="42.83203125" style="516" customWidth="1"/>
    <col min="3" max="3" width="77.33203125" style="516" customWidth="1"/>
    <col min="4" max="4" width="0" style="516" hidden="1" customWidth="1"/>
    <col min="5" max="16384" width="12.83203125" style="516"/>
  </cols>
  <sheetData>
    <row r="1" spans="1:25" ht="27.5" customHeight="1">
      <c r="A1" s="691" t="s">
        <v>5</v>
      </c>
      <c r="B1" s="691"/>
      <c r="C1" s="691"/>
      <c r="D1" s="691"/>
      <c r="E1" s="511"/>
      <c r="F1" s="511"/>
      <c r="G1" s="512"/>
      <c r="H1" s="512"/>
      <c r="I1" s="513"/>
      <c r="J1" s="514"/>
      <c r="K1" s="514"/>
      <c r="L1" s="514"/>
      <c r="M1" s="514"/>
      <c r="N1" s="514"/>
      <c r="O1" s="514"/>
      <c r="P1" s="514"/>
      <c r="Q1" s="514"/>
      <c r="R1" s="515"/>
      <c r="S1" s="515"/>
      <c r="T1" s="515"/>
      <c r="U1" s="515"/>
      <c r="V1" s="515"/>
      <c r="W1" s="515"/>
      <c r="X1" s="515"/>
      <c r="Y1" s="515"/>
    </row>
    <row r="2" spans="1:25" ht="15.75" customHeight="1">
      <c r="A2" s="690" t="s">
        <v>6</v>
      </c>
      <c r="B2" s="690"/>
      <c r="C2" s="695" t="s">
        <v>7</v>
      </c>
      <c r="D2" s="695"/>
      <c r="E2" s="695"/>
      <c r="F2" s="695"/>
      <c r="G2" s="695"/>
      <c r="H2" s="695"/>
      <c r="I2" s="513"/>
      <c r="J2" s="518"/>
      <c r="K2" s="518"/>
      <c r="L2" s="518"/>
      <c r="M2" s="518"/>
      <c r="N2" s="518"/>
      <c r="O2" s="518"/>
      <c r="P2" s="518"/>
      <c r="Q2" s="518"/>
      <c r="R2" s="515"/>
      <c r="S2" s="515"/>
      <c r="T2" s="515"/>
      <c r="U2" s="515"/>
      <c r="V2" s="515"/>
      <c r="W2" s="515"/>
      <c r="X2" s="515"/>
      <c r="Y2" s="515"/>
    </row>
    <row r="3" spans="1:25" ht="15.75" customHeight="1">
      <c r="A3" s="690" t="s">
        <v>8</v>
      </c>
      <c r="B3" s="690"/>
      <c r="C3" s="695" t="s">
        <v>9</v>
      </c>
      <c r="D3" s="695"/>
      <c r="E3" s="695"/>
      <c r="F3" s="695"/>
      <c r="G3" s="695"/>
      <c r="H3" s="695"/>
      <c r="I3" s="513"/>
      <c r="J3" s="518"/>
      <c r="K3" s="518"/>
      <c r="L3" s="518"/>
      <c r="M3" s="518"/>
      <c r="N3" s="518"/>
      <c r="O3" s="518"/>
      <c r="P3" s="518"/>
      <c r="Q3" s="518"/>
      <c r="R3" s="515"/>
      <c r="S3" s="515"/>
      <c r="T3" s="515"/>
      <c r="U3" s="515"/>
      <c r="V3" s="515"/>
      <c r="W3" s="515"/>
      <c r="X3" s="515"/>
      <c r="Y3" s="515"/>
    </row>
    <row r="4" spans="1:25" ht="15.75" customHeight="1">
      <c r="A4" s="690" t="s">
        <v>10</v>
      </c>
      <c r="B4" s="690"/>
      <c r="C4" s="695" t="s">
        <v>11</v>
      </c>
      <c r="D4" s="695"/>
      <c r="E4" s="695"/>
      <c r="F4" s="695"/>
      <c r="G4" s="695"/>
      <c r="H4" s="695"/>
      <c r="I4" s="513"/>
      <c r="J4" s="518"/>
      <c r="K4" s="518"/>
      <c r="L4" s="518"/>
      <c r="M4" s="518"/>
      <c r="N4" s="518"/>
      <c r="O4" s="518"/>
      <c r="P4" s="518"/>
      <c r="Q4" s="518"/>
      <c r="R4" s="515"/>
      <c r="S4" s="515"/>
      <c r="T4" s="515"/>
      <c r="U4" s="515"/>
      <c r="V4" s="515"/>
      <c r="W4" s="515"/>
      <c r="X4" s="515"/>
      <c r="Y4" s="515"/>
    </row>
    <row r="5" spans="1:25" ht="39.25" customHeight="1">
      <c r="A5" s="694" t="s">
        <v>12</v>
      </c>
      <c r="B5" s="694"/>
      <c r="C5" s="694"/>
      <c r="D5" s="694"/>
      <c r="E5" s="694"/>
      <c r="F5" s="694"/>
      <c r="G5" s="694"/>
      <c r="H5" s="694"/>
      <c r="I5" s="513"/>
      <c r="J5" s="514"/>
      <c r="K5" s="514"/>
      <c r="L5" s="514"/>
      <c r="M5" s="514"/>
      <c r="N5" s="514"/>
      <c r="O5" s="514"/>
      <c r="P5" s="514"/>
      <c r="Q5" s="514"/>
      <c r="R5" s="515"/>
      <c r="S5" s="515"/>
      <c r="T5" s="515"/>
      <c r="U5" s="515"/>
      <c r="V5" s="515"/>
      <c r="W5" s="515"/>
      <c r="X5" s="515"/>
      <c r="Y5" s="515"/>
    </row>
    <row r="6" spans="1:25" ht="12" customHeight="1">
      <c r="A6" s="693" t="s">
        <v>13</v>
      </c>
      <c r="B6" s="693"/>
      <c r="C6" s="693"/>
      <c r="D6" s="693"/>
      <c r="E6" s="693"/>
      <c r="F6" s="693"/>
      <c r="G6" s="693"/>
      <c r="H6" s="693"/>
      <c r="I6" s="513"/>
      <c r="J6" s="514"/>
      <c r="K6" s="514"/>
      <c r="L6" s="514"/>
      <c r="M6" s="514"/>
      <c r="N6" s="514"/>
      <c r="O6" s="514"/>
      <c r="P6" s="514"/>
      <c r="Q6" s="514"/>
      <c r="R6" s="515"/>
      <c r="S6" s="515"/>
      <c r="T6" s="515"/>
      <c r="U6" s="515"/>
      <c r="V6" s="515"/>
      <c r="W6" s="515"/>
      <c r="X6" s="515"/>
      <c r="Y6" s="515"/>
    </row>
    <row r="7" spans="1:25" ht="11" customHeight="1">
      <c r="A7" s="519" t="s">
        <v>1582</v>
      </c>
      <c r="B7" s="519"/>
      <c r="C7" s="519"/>
      <c r="D7" s="519"/>
      <c r="E7" s="519"/>
      <c r="F7" s="519"/>
      <c r="G7" s="519"/>
      <c r="H7" s="519"/>
      <c r="I7" s="513"/>
      <c r="J7" s="514"/>
      <c r="K7" s="514"/>
      <c r="L7" s="514"/>
      <c r="M7" s="514"/>
      <c r="N7" s="514"/>
      <c r="O7" s="514"/>
      <c r="P7" s="514"/>
      <c r="Q7" s="514"/>
      <c r="R7" s="515"/>
      <c r="S7" s="515"/>
      <c r="T7" s="515"/>
      <c r="U7" s="515"/>
      <c r="V7" s="515"/>
      <c r="W7" s="515"/>
      <c r="X7" s="515"/>
      <c r="Y7" s="515"/>
    </row>
    <row r="8" spans="1:25" ht="15.75" customHeight="1">
      <c r="A8" s="692" t="s">
        <v>1571</v>
      </c>
      <c r="B8" s="692"/>
      <c r="C8" s="692"/>
      <c r="D8" s="519"/>
      <c r="E8" s="519"/>
      <c r="F8" s="519"/>
      <c r="G8" s="519"/>
      <c r="H8" s="519"/>
      <c r="I8" s="513"/>
      <c r="J8" s="514"/>
      <c r="K8" s="514"/>
      <c r="L8" s="514"/>
      <c r="M8" s="514"/>
      <c r="N8" s="514"/>
      <c r="O8" s="514"/>
      <c r="P8" s="514"/>
      <c r="Q8" s="514"/>
      <c r="R8" s="515"/>
      <c r="S8" s="515"/>
      <c r="T8" s="515"/>
      <c r="U8" s="515"/>
      <c r="V8" s="515"/>
      <c r="W8" s="515"/>
      <c r="X8" s="515"/>
      <c r="Y8" s="515"/>
    </row>
    <row r="9" spans="1:25" ht="11" customHeight="1">
      <c r="A9" s="694" t="s">
        <v>1583</v>
      </c>
      <c r="B9" s="694"/>
      <c r="C9" s="519"/>
      <c r="D9" s="519"/>
      <c r="E9" s="519"/>
      <c r="F9" s="519"/>
      <c r="G9" s="519"/>
      <c r="H9" s="519"/>
      <c r="I9" s="513"/>
      <c r="J9" s="514"/>
      <c r="K9" s="514"/>
      <c r="L9" s="514"/>
      <c r="M9" s="514"/>
      <c r="N9" s="514"/>
      <c r="O9" s="514"/>
      <c r="P9" s="514"/>
      <c r="Q9" s="514"/>
      <c r="R9" s="515"/>
      <c r="S9" s="515"/>
      <c r="T9" s="515"/>
      <c r="U9" s="515"/>
      <c r="V9" s="515"/>
      <c r="W9" s="515"/>
      <c r="X9" s="515"/>
      <c r="Y9" s="515"/>
    </row>
    <row r="10" spans="1:25" ht="15.75" customHeight="1">
      <c r="A10" s="692" t="s">
        <v>1572</v>
      </c>
      <c r="B10" s="692"/>
      <c r="C10" s="692"/>
      <c r="D10" s="519"/>
      <c r="E10" s="519"/>
      <c r="F10" s="519"/>
      <c r="G10" s="519"/>
      <c r="H10" s="519"/>
      <c r="I10" s="513"/>
      <c r="J10" s="514"/>
      <c r="K10" s="514"/>
      <c r="L10" s="514"/>
      <c r="M10" s="514"/>
      <c r="N10" s="514"/>
      <c r="O10" s="514"/>
      <c r="P10" s="514"/>
      <c r="Q10" s="514"/>
      <c r="R10" s="515"/>
      <c r="S10" s="515"/>
      <c r="T10" s="515"/>
      <c r="U10" s="515"/>
      <c r="V10" s="515"/>
      <c r="W10" s="515"/>
      <c r="X10" s="515"/>
      <c r="Y10" s="515"/>
    </row>
    <row r="11" spans="1:25" ht="11" customHeight="1">
      <c r="A11" s="694" t="s">
        <v>1585</v>
      </c>
      <c r="B11" s="694"/>
      <c r="C11" s="519"/>
      <c r="D11" s="519"/>
      <c r="E11" s="519"/>
      <c r="F11" s="519"/>
      <c r="G11" s="519"/>
      <c r="H11" s="519"/>
      <c r="I11" s="513"/>
      <c r="J11" s="514"/>
      <c r="K11" s="514"/>
      <c r="L11" s="514"/>
      <c r="M11" s="514"/>
      <c r="N11" s="514"/>
      <c r="O11" s="514"/>
      <c r="P11" s="514"/>
      <c r="Q11" s="514"/>
      <c r="R11" s="515"/>
      <c r="S11" s="515"/>
      <c r="T11" s="515"/>
      <c r="U11" s="515"/>
      <c r="V11" s="515"/>
      <c r="W11" s="515"/>
      <c r="X11" s="515"/>
      <c r="Y11" s="515"/>
    </row>
    <row r="12" spans="1:25" ht="15.75" customHeight="1">
      <c r="A12" s="692" t="s">
        <v>1584</v>
      </c>
      <c r="B12" s="692"/>
      <c r="C12" s="692"/>
      <c r="D12" s="519"/>
      <c r="E12" s="519"/>
      <c r="F12" s="519"/>
      <c r="G12" s="519"/>
      <c r="H12" s="519"/>
      <c r="I12" s="513"/>
      <c r="J12" s="514"/>
      <c r="K12" s="514"/>
      <c r="L12" s="514"/>
      <c r="M12" s="514"/>
      <c r="N12" s="514"/>
      <c r="O12" s="514"/>
      <c r="P12" s="514"/>
      <c r="Q12" s="514"/>
      <c r="R12" s="515"/>
      <c r="S12" s="515"/>
      <c r="T12" s="515"/>
      <c r="U12" s="515"/>
      <c r="V12" s="515"/>
      <c r="W12" s="515"/>
      <c r="X12" s="515"/>
      <c r="Y12" s="515"/>
    </row>
    <row r="13" spans="1:25" ht="11" customHeight="1">
      <c r="A13" s="694" t="s">
        <v>1586</v>
      </c>
      <c r="B13" s="694"/>
      <c r="C13" s="519"/>
      <c r="D13" s="519"/>
      <c r="E13" s="519"/>
      <c r="F13" s="519"/>
      <c r="G13" s="519"/>
      <c r="H13" s="519"/>
      <c r="I13" s="513"/>
      <c r="J13" s="514"/>
      <c r="K13" s="514"/>
      <c r="L13" s="514"/>
      <c r="M13" s="514"/>
      <c r="N13" s="514"/>
      <c r="O13" s="514"/>
      <c r="P13" s="514"/>
      <c r="Q13" s="514"/>
      <c r="R13" s="515"/>
      <c r="S13" s="515"/>
      <c r="T13" s="515"/>
      <c r="U13" s="515"/>
      <c r="V13" s="515"/>
      <c r="W13" s="515"/>
      <c r="X13" s="515"/>
      <c r="Y13" s="515"/>
    </row>
    <row r="14" spans="1:25" ht="15.75" customHeight="1">
      <c r="A14" s="692" t="s">
        <v>1575</v>
      </c>
      <c r="B14" s="692"/>
      <c r="C14" s="692"/>
      <c r="D14" s="519"/>
      <c r="E14" s="519"/>
      <c r="F14" s="519"/>
      <c r="G14" s="519"/>
      <c r="H14" s="519"/>
      <c r="I14" s="513"/>
      <c r="J14" s="514"/>
      <c r="K14" s="514"/>
      <c r="L14" s="514"/>
      <c r="M14" s="514"/>
      <c r="N14" s="514"/>
      <c r="O14" s="514"/>
      <c r="P14" s="514"/>
      <c r="Q14" s="514"/>
      <c r="R14" s="515"/>
      <c r="S14" s="515"/>
      <c r="T14" s="515"/>
      <c r="U14" s="515"/>
      <c r="V14" s="515"/>
      <c r="W14" s="515"/>
      <c r="X14" s="515"/>
      <c r="Y14" s="515"/>
    </row>
    <row r="15" spans="1:25" ht="11" customHeight="1">
      <c r="A15" s="694" t="s">
        <v>1587</v>
      </c>
      <c r="B15" s="694"/>
      <c r="C15" s="519"/>
      <c r="D15" s="519"/>
      <c r="E15" s="519"/>
      <c r="F15" s="519"/>
      <c r="G15" s="519"/>
      <c r="H15" s="519"/>
      <c r="I15" s="513"/>
      <c r="J15" s="514"/>
      <c r="K15" s="514"/>
      <c r="L15" s="514"/>
      <c r="M15" s="514"/>
      <c r="N15" s="514"/>
      <c r="O15" s="514"/>
      <c r="P15" s="514"/>
      <c r="Q15" s="514"/>
      <c r="R15" s="515"/>
      <c r="S15" s="515"/>
      <c r="T15" s="515"/>
      <c r="U15" s="515"/>
      <c r="V15" s="515"/>
      <c r="W15" s="515"/>
      <c r="X15" s="515"/>
      <c r="Y15" s="515"/>
    </row>
    <row r="16" spans="1:25" ht="15.75" customHeight="1">
      <c r="A16" s="692" t="s">
        <v>1566</v>
      </c>
      <c r="B16" s="692"/>
      <c r="C16" s="692"/>
      <c r="D16" s="519"/>
      <c r="E16" s="519"/>
      <c r="F16" s="519"/>
      <c r="G16" s="519"/>
      <c r="H16" s="519"/>
      <c r="I16" s="513"/>
      <c r="J16" s="514"/>
      <c r="K16" s="514"/>
      <c r="L16" s="514"/>
      <c r="M16" s="514"/>
      <c r="N16" s="514"/>
      <c r="O16" s="514"/>
      <c r="P16" s="514"/>
      <c r="Q16" s="514"/>
      <c r="R16" s="515"/>
      <c r="S16" s="515"/>
      <c r="T16" s="515"/>
      <c r="U16" s="515"/>
      <c r="V16" s="515"/>
      <c r="W16" s="515"/>
      <c r="X16" s="515"/>
      <c r="Y16" s="515"/>
    </row>
    <row r="17" spans="1:25" ht="12" customHeight="1">
      <c r="A17" s="694" t="s">
        <v>1588</v>
      </c>
      <c r="B17" s="694"/>
      <c r="C17" s="519"/>
      <c r="D17" s="519"/>
      <c r="E17" s="519"/>
      <c r="F17" s="519"/>
      <c r="G17" s="519"/>
      <c r="H17" s="519"/>
      <c r="I17" s="513"/>
      <c r="J17" s="514"/>
      <c r="K17" s="514"/>
      <c r="L17" s="514"/>
      <c r="M17" s="514"/>
      <c r="N17" s="514"/>
      <c r="O17" s="514"/>
      <c r="P17" s="514"/>
      <c r="Q17" s="514"/>
      <c r="R17" s="515"/>
      <c r="S17" s="515"/>
      <c r="T17" s="515"/>
      <c r="U17" s="515"/>
      <c r="V17" s="515"/>
      <c r="W17" s="515"/>
      <c r="X17" s="515"/>
      <c r="Y17" s="515"/>
    </row>
    <row r="18" spans="1:25" ht="18" customHeight="1">
      <c r="A18" s="692" t="s">
        <v>73</v>
      </c>
      <c r="B18" s="692"/>
      <c r="C18" s="692"/>
      <c r="D18" s="519"/>
      <c r="E18" s="519"/>
      <c r="F18" s="519"/>
      <c r="G18" s="519"/>
      <c r="H18" s="519"/>
      <c r="I18" s="513"/>
      <c r="J18" s="514"/>
      <c r="K18" s="514"/>
      <c r="L18" s="514"/>
      <c r="M18" s="514"/>
      <c r="N18" s="514"/>
      <c r="O18" s="514"/>
      <c r="P18" s="514"/>
      <c r="Q18" s="514"/>
      <c r="R18" s="515"/>
      <c r="S18" s="515"/>
      <c r="T18" s="515"/>
      <c r="U18" s="515"/>
      <c r="V18" s="515"/>
      <c r="W18" s="515"/>
      <c r="X18" s="515"/>
      <c r="Y18" s="515"/>
    </row>
    <row r="19" spans="1:25" ht="15.75" customHeight="1">
      <c r="A19" s="696" t="s">
        <v>14</v>
      </c>
      <c r="B19" s="696"/>
      <c r="C19" s="696"/>
      <c r="D19" s="514"/>
      <c r="E19" s="511"/>
      <c r="F19" s="521"/>
      <c r="G19" s="521"/>
      <c r="H19" s="521"/>
      <c r="I19" s="513"/>
      <c r="J19" s="514"/>
      <c r="K19" s="514"/>
      <c r="L19" s="514"/>
      <c r="M19" s="514"/>
      <c r="N19" s="513"/>
      <c r="O19" s="514"/>
      <c r="P19" s="514"/>
      <c r="Q19" s="514"/>
      <c r="R19" s="515"/>
      <c r="S19" s="515"/>
      <c r="T19" s="515"/>
      <c r="U19" s="515"/>
      <c r="V19" s="515"/>
      <c r="W19" s="515"/>
      <c r="X19" s="515"/>
      <c r="Y19" s="515"/>
    </row>
    <row r="20" spans="1:25" ht="39.25" customHeight="1">
      <c r="A20" s="502" t="s">
        <v>15</v>
      </c>
      <c r="B20" s="502" t="s">
        <v>16</v>
      </c>
      <c r="C20" s="502" t="s">
        <v>17</v>
      </c>
      <c r="D20" s="502" t="s">
        <v>18</v>
      </c>
      <c r="E20" s="503" t="s">
        <v>19</v>
      </c>
      <c r="F20" s="503" t="s">
        <v>20</v>
      </c>
      <c r="G20" s="503" t="s">
        <v>21</v>
      </c>
      <c r="H20" s="503" t="s">
        <v>22</v>
      </c>
      <c r="I20" s="504"/>
      <c r="J20" s="504"/>
      <c r="K20" s="504"/>
      <c r="L20" s="504"/>
      <c r="M20" s="504"/>
      <c r="N20" s="504"/>
      <c r="O20" s="504"/>
      <c r="P20" s="504"/>
      <c r="Q20" s="504"/>
      <c r="R20" s="522"/>
      <c r="S20" s="522"/>
      <c r="T20" s="522"/>
      <c r="U20" s="522"/>
      <c r="V20" s="522"/>
      <c r="W20" s="522"/>
      <c r="X20" s="522"/>
      <c r="Y20" s="522"/>
    </row>
    <row r="21" spans="1:25" ht="14.25" customHeight="1">
      <c r="A21" s="505" t="s">
        <v>23</v>
      </c>
      <c r="B21" s="523"/>
      <c r="C21" s="523"/>
      <c r="D21" s="523"/>
      <c r="E21" s="524"/>
      <c r="F21" s="524"/>
      <c r="G21" s="524"/>
      <c r="H21" s="524"/>
      <c r="I21" s="513"/>
      <c r="J21" s="514"/>
      <c r="K21" s="514"/>
      <c r="L21" s="514"/>
      <c r="M21" s="514"/>
      <c r="N21" s="514"/>
      <c r="O21" s="514"/>
      <c r="P21" s="514"/>
      <c r="Q21" s="514"/>
      <c r="R21" s="525"/>
      <c r="S21" s="525"/>
      <c r="T21" s="525"/>
      <c r="U21" s="525"/>
      <c r="V21" s="525"/>
      <c r="W21" s="525"/>
      <c r="X21" s="525"/>
      <c r="Y21" s="525"/>
    </row>
    <row r="22" spans="1:25" ht="13" customHeight="1">
      <c r="A22" s="697" t="s">
        <v>24</v>
      </c>
      <c r="B22" s="698" t="s">
        <v>25</v>
      </c>
      <c r="C22" s="528" t="s">
        <v>26</v>
      </c>
      <c r="D22" s="529"/>
      <c r="E22" s="530"/>
      <c r="F22" s="530"/>
      <c r="G22" s="530"/>
      <c r="H22" s="530"/>
      <c r="I22" s="513"/>
      <c r="J22" s="514"/>
      <c r="K22" s="514"/>
      <c r="L22" s="514"/>
      <c r="M22" s="514"/>
      <c r="N22" s="514"/>
      <c r="O22" s="514"/>
      <c r="P22" s="514"/>
      <c r="Q22" s="514"/>
      <c r="R22" s="525"/>
      <c r="S22" s="525"/>
      <c r="T22" s="525"/>
      <c r="U22" s="525"/>
      <c r="V22" s="525"/>
      <c r="W22" s="525"/>
      <c r="X22" s="525"/>
      <c r="Y22" s="525"/>
    </row>
    <row r="23" spans="1:25" ht="26.75" customHeight="1">
      <c r="A23" s="697"/>
      <c r="B23" s="698"/>
      <c r="C23" s="531" t="s">
        <v>1604</v>
      </c>
      <c r="D23" s="529"/>
      <c r="E23" s="530"/>
      <c r="F23" s="530"/>
      <c r="G23" s="532"/>
      <c r="H23" s="530"/>
      <c r="I23" s="513"/>
      <c r="J23" s="514"/>
      <c r="K23" s="514"/>
      <c r="L23" s="514"/>
      <c r="M23" s="514"/>
      <c r="N23" s="514"/>
      <c r="O23" s="514"/>
      <c r="P23" s="514"/>
      <c r="Q23" s="514"/>
      <c r="R23" s="515"/>
      <c r="S23" s="515"/>
      <c r="T23" s="515"/>
      <c r="U23" s="515"/>
      <c r="V23" s="515"/>
      <c r="W23" s="515"/>
      <c r="X23" s="515"/>
      <c r="Y23" s="515"/>
    </row>
    <row r="24" spans="1:25" ht="15.75" customHeight="1">
      <c r="A24" s="697"/>
      <c r="B24" s="699"/>
      <c r="C24" s="494" t="s">
        <v>172</v>
      </c>
      <c r="D24" s="534"/>
      <c r="E24" s="535"/>
      <c r="F24" s="535"/>
      <c r="G24" s="535"/>
      <c r="H24" s="535"/>
      <c r="I24" s="513"/>
      <c r="J24" s="514"/>
      <c r="K24" s="514"/>
      <c r="L24" s="514"/>
      <c r="M24" s="514"/>
      <c r="N24" s="514"/>
      <c r="O24" s="514"/>
      <c r="P24" s="514"/>
      <c r="Q24" s="514"/>
      <c r="R24" s="515"/>
      <c r="S24" s="515"/>
      <c r="T24" s="515"/>
      <c r="U24" s="515"/>
      <c r="V24" s="515"/>
      <c r="W24" s="515"/>
      <c r="X24" s="515"/>
      <c r="Y24" s="515"/>
    </row>
    <row r="25" spans="1:25" ht="13" customHeight="1">
      <c r="A25" s="526"/>
      <c r="B25" s="700" t="s">
        <v>27</v>
      </c>
      <c r="C25" s="537" t="s">
        <v>26</v>
      </c>
      <c r="D25" s="538"/>
      <c r="E25" s="539"/>
      <c r="F25" s="540">
        <v>10</v>
      </c>
      <c r="G25" s="539"/>
      <c r="H25" s="539"/>
      <c r="I25" s="513"/>
      <c r="J25" s="514"/>
      <c r="K25" s="514"/>
      <c r="L25" s="514"/>
      <c r="M25" s="514"/>
      <c r="N25" s="514"/>
      <c r="O25" s="514"/>
      <c r="P25" s="514"/>
      <c r="Q25" s="514"/>
      <c r="R25" s="515"/>
      <c r="S25" s="515"/>
      <c r="T25" s="515"/>
      <c r="U25" s="515"/>
      <c r="V25" s="515"/>
      <c r="W25" s="515"/>
      <c r="X25" s="515"/>
      <c r="Y25" s="515"/>
    </row>
    <row r="26" spans="1:25" ht="26.75" customHeight="1">
      <c r="A26" s="526"/>
      <c r="B26" s="699"/>
      <c r="C26" s="533" t="s">
        <v>28</v>
      </c>
      <c r="D26" s="534"/>
      <c r="E26" s="535"/>
      <c r="F26" s="535"/>
      <c r="G26" s="535"/>
      <c r="H26" s="535"/>
      <c r="I26" s="513"/>
      <c r="J26" s="514"/>
      <c r="K26" s="514"/>
      <c r="L26" s="514"/>
      <c r="M26" s="514"/>
      <c r="N26" s="514"/>
      <c r="O26" s="514"/>
      <c r="P26" s="514"/>
      <c r="Q26" s="514"/>
      <c r="R26" s="515"/>
      <c r="S26" s="515"/>
      <c r="T26" s="515"/>
      <c r="U26" s="515"/>
      <c r="V26" s="515"/>
      <c r="W26" s="515"/>
      <c r="X26" s="515"/>
      <c r="Y26" s="515"/>
    </row>
    <row r="27" spans="1:25" ht="15.75" customHeight="1">
      <c r="A27" s="526"/>
      <c r="B27" s="698" t="s">
        <v>29</v>
      </c>
      <c r="C27" s="537" t="s">
        <v>26</v>
      </c>
      <c r="D27" s="529"/>
      <c r="E27" s="530"/>
      <c r="F27" s="541">
        <v>10</v>
      </c>
      <c r="G27" s="530"/>
      <c r="H27" s="530"/>
      <c r="I27" s="513"/>
      <c r="J27" s="514"/>
      <c r="K27" s="514"/>
      <c r="L27" s="514"/>
      <c r="M27" s="514"/>
      <c r="N27" s="514"/>
      <c r="O27" s="514"/>
      <c r="P27" s="514"/>
      <c r="Q27" s="514"/>
      <c r="R27" s="515"/>
      <c r="S27" s="515"/>
      <c r="T27" s="515"/>
      <c r="U27" s="515"/>
      <c r="V27" s="515"/>
      <c r="W27" s="515"/>
      <c r="X27" s="515"/>
      <c r="Y27" s="515"/>
    </row>
    <row r="28" spans="1:25" ht="26.75" customHeight="1">
      <c r="A28" s="526"/>
      <c r="B28" s="704"/>
      <c r="C28" s="542" t="s">
        <v>30</v>
      </c>
      <c r="D28" s="543"/>
      <c r="E28" s="544"/>
      <c r="F28" s="544"/>
      <c r="G28" s="544"/>
      <c r="H28" s="544"/>
      <c r="I28" s="513"/>
      <c r="J28" s="514"/>
      <c r="K28" s="514"/>
      <c r="L28" s="514"/>
      <c r="M28" s="514"/>
      <c r="N28" s="514"/>
      <c r="O28" s="514"/>
      <c r="P28" s="514"/>
      <c r="Q28" s="514"/>
      <c r="R28" s="515"/>
      <c r="S28" s="515"/>
      <c r="T28" s="515"/>
      <c r="U28" s="515"/>
      <c r="V28" s="515"/>
      <c r="W28" s="515"/>
      <c r="X28" s="515"/>
      <c r="Y28" s="515"/>
    </row>
    <row r="29" spans="1:25" ht="12" customHeight="1">
      <c r="A29" s="526"/>
      <c r="B29" s="545" t="s">
        <v>31</v>
      </c>
      <c r="C29" s="537" t="s">
        <v>1569</v>
      </c>
      <c r="D29" s="529"/>
      <c r="E29" s="546"/>
      <c r="F29" s="547">
        <v>10</v>
      </c>
      <c r="G29" s="546"/>
      <c r="H29" s="701"/>
      <c r="I29" s="513"/>
      <c r="J29" s="514"/>
      <c r="K29" s="514"/>
      <c r="L29" s="514"/>
      <c r="M29" s="514"/>
      <c r="N29" s="514"/>
      <c r="O29" s="514"/>
      <c r="P29" s="514"/>
      <c r="Q29" s="514"/>
      <c r="R29" s="515"/>
      <c r="S29" s="515"/>
      <c r="T29" s="515"/>
      <c r="U29" s="515"/>
      <c r="V29" s="515"/>
      <c r="W29" s="515"/>
      <c r="X29" s="515"/>
      <c r="Y29" s="515"/>
    </row>
    <row r="30" spans="1:25" ht="26.75" customHeight="1">
      <c r="A30" s="526"/>
      <c r="B30" s="527"/>
      <c r="C30" s="527" t="s">
        <v>32</v>
      </c>
      <c r="D30" s="529"/>
      <c r="E30" s="530"/>
      <c r="F30" s="530"/>
      <c r="G30" s="530"/>
      <c r="H30" s="702"/>
      <c r="I30" s="513"/>
      <c r="J30" s="514"/>
      <c r="K30" s="514"/>
      <c r="L30" s="514"/>
      <c r="M30" s="514"/>
      <c r="N30" s="514"/>
      <c r="O30" s="514"/>
      <c r="P30" s="514"/>
      <c r="Q30" s="514"/>
      <c r="R30" s="515"/>
      <c r="S30" s="515"/>
      <c r="T30" s="515"/>
      <c r="U30" s="515"/>
      <c r="V30" s="515"/>
      <c r="W30" s="515"/>
      <c r="X30" s="515"/>
      <c r="Y30" s="515"/>
    </row>
    <row r="31" spans="1:25" ht="12" customHeight="1">
      <c r="A31" s="526"/>
      <c r="B31" s="527"/>
      <c r="C31" s="537" t="s">
        <v>1576</v>
      </c>
      <c r="D31" s="529"/>
      <c r="E31" s="530"/>
      <c r="F31" s="530"/>
      <c r="G31" s="530"/>
      <c r="H31" s="702"/>
      <c r="I31" s="513"/>
      <c r="J31" s="514"/>
      <c r="K31" s="514"/>
      <c r="L31" s="514"/>
      <c r="M31" s="514"/>
      <c r="N31" s="514"/>
      <c r="O31" s="514"/>
      <c r="P31" s="514"/>
      <c r="Q31" s="514"/>
      <c r="R31" s="515"/>
      <c r="S31" s="515"/>
      <c r="T31" s="515"/>
      <c r="U31" s="515"/>
      <c r="V31" s="515"/>
      <c r="W31" s="515"/>
      <c r="X31" s="515"/>
      <c r="Y31" s="515"/>
    </row>
    <row r="32" spans="1:25" ht="15.75" customHeight="1">
      <c r="A32" s="526"/>
      <c r="B32" s="533"/>
      <c r="C32" s="533" t="s">
        <v>33</v>
      </c>
      <c r="D32" s="534"/>
      <c r="E32" s="535"/>
      <c r="F32" s="535"/>
      <c r="G32" s="535"/>
      <c r="H32" s="703"/>
      <c r="I32" s="513"/>
      <c r="J32" s="514"/>
      <c r="K32" s="514"/>
      <c r="L32" s="514"/>
      <c r="M32" s="514"/>
      <c r="N32" s="514"/>
      <c r="O32" s="514"/>
      <c r="P32" s="514"/>
      <c r="Q32" s="514"/>
      <c r="R32" s="515"/>
      <c r="S32" s="515"/>
      <c r="T32" s="515"/>
      <c r="U32" s="515"/>
      <c r="V32" s="515"/>
      <c r="W32" s="515"/>
      <c r="X32" s="515"/>
      <c r="Y32" s="515"/>
    </row>
    <row r="33" spans="1:25" ht="12" customHeight="1">
      <c r="A33" s="526"/>
      <c r="B33" s="527" t="s">
        <v>34</v>
      </c>
      <c r="C33" s="537" t="s">
        <v>26</v>
      </c>
      <c r="D33" s="529"/>
      <c r="E33" s="530"/>
      <c r="F33" s="541">
        <v>10</v>
      </c>
      <c r="G33" s="530"/>
      <c r="H33" s="530"/>
      <c r="I33" s="513"/>
      <c r="J33" s="514"/>
      <c r="K33" s="514"/>
      <c r="L33" s="514"/>
      <c r="M33" s="514"/>
      <c r="N33" s="514"/>
      <c r="O33" s="514"/>
      <c r="P33" s="514"/>
      <c r="Q33" s="514"/>
      <c r="R33" s="515"/>
      <c r="S33" s="515"/>
      <c r="T33" s="515"/>
      <c r="U33" s="515"/>
      <c r="V33" s="515"/>
      <c r="W33" s="515"/>
      <c r="X33" s="515"/>
      <c r="Y33" s="515"/>
    </row>
    <row r="34" spans="1:25" ht="15.75" customHeight="1">
      <c r="A34" s="526"/>
      <c r="B34" s="527"/>
      <c r="C34" s="527" t="s">
        <v>35</v>
      </c>
      <c r="D34" s="550"/>
      <c r="E34" s="530"/>
      <c r="F34" s="530"/>
      <c r="G34" s="530"/>
      <c r="H34" s="530"/>
      <c r="I34" s="513"/>
      <c r="J34" s="514"/>
      <c r="K34" s="514"/>
      <c r="L34" s="514"/>
      <c r="M34" s="514"/>
      <c r="N34" s="514"/>
      <c r="O34" s="514"/>
      <c r="P34" s="514"/>
      <c r="Q34" s="514"/>
      <c r="R34" s="515"/>
      <c r="S34" s="515"/>
      <c r="T34" s="515"/>
      <c r="U34" s="515"/>
      <c r="V34" s="515"/>
      <c r="W34" s="515"/>
      <c r="X34" s="515"/>
      <c r="Y34" s="515"/>
    </row>
    <row r="35" spans="1:25" ht="12" customHeight="1">
      <c r="A35" s="526"/>
      <c r="B35" s="527"/>
      <c r="C35" s="537" t="s">
        <v>36</v>
      </c>
      <c r="D35" s="550"/>
      <c r="E35" s="530"/>
      <c r="F35" s="530"/>
      <c r="G35" s="530"/>
      <c r="H35" s="530"/>
      <c r="I35" s="513"/>
      <c r="J35" s="514"/>
      <c r="K35" s="514"/>
      <c r="L35" s="514"/>
      <c r="M35" s="514"/>
      <c r="N35" s="514"/>
      <c r="O35" s="514"/>
      <c r="P35" s="514"/>
      <c r="Q35" s="514"/>
      <c r="R35" s="515"/>
      <c r="S35" s="515"/>
      <c r="T35" s="515"/>
      <c r="U35" s="515"/>
      <c r="V35" s="515"/>
      <c r="W35" s="515"/>
      <c r="X35" s="515"/>
      <c r="Y35" s="515"/>
    </row>
    <row r="36" spans="1:25" ht="26.75" customHeight="1">
      <c r="A36" s="526"/>
      <c r="B36" s="527"/>
      <c r="C36" s="527" t="s">
        <v>37</v>
      </c>
      <c r="D36" s="550"/>
      <c r="E36" s="530"/>
      <c r="F36" s="530"/>
      <c r="G36" s="530"/>
      <c r="H36" s="530"/>
      <c r="I36" s="513"/>
      <c r="J36" s="514"/>
      <c r="K36" s="514"/>
      <c r="L36" s="514"/>
      <c r="M36" s="514"/>
      <c r="N36" s="514"/>
      <c r="O36" s="514"/>
      <c r="P36" s="514"/>
      <c r="Q36" s="514"/>
      <c r="R36" s="515"/>
      <c r="S36" s="515"/>
      <c r="T36" s="515"/>
      <c r="U36" s="515"/>
      <c r="V36" s="515"/>
      <c r="W36" s="515"/>
      <c r="X36" s="515"/>
      <c r="Y36" s="515"/>
    </row>
    <row r="37" spans="1:25" ht="12" customHeight="1">
      <c r="A37" s="526"/>
      <c r="B37" s="527"/>
      <c r="C37" s="537" t="s">
        <v>38</v>
      </c>
      <c r="D37" s="550"/>
      <c r="E37" s="530"/>
      <c r="F37" s="530"/>
      <c r="G37" s="530"/>
      <c r="H37" s="530"/>
      <c r="I37" s="513"/>
      <c r="J37" s="514"/>
      <c r="K37" s="514"/>
      <c r="L37" s="514"/>
      <c r="M37" s="514"/>
      <c r="N37" s="514"/>
      <c r="O37" s="514"/>
      <c r="P37" s="514"/>
      <c r="Q37" s="514"/>
      <c r="R37" s="515"/>
      <c r="S37" s="515"/>
      <c r="T37" s="515"/>
      <c r="U37" s="515"/>
      <c r="V37" s="515"/>
      <c r="W37" s="515"/>
      <c r="X37" s="515"/>
      <c r="Y37" s="515"/>
    </row>
    <row r="38" spans="1:25" ht="15.75" customHeight="1">
      <c r="A38" s="526"/>
      <c r="B38" s="527"/>
      <c r="C38" s="527" t="s">
        <v>39</v>
      </c>
      <c r="D38" s="550"/>
      <c r="E38" s="530"/>
      <c r="F38" s="530"/>
      <c r="G38" s="530"/>
      <c r="H38" s="530"/>
      <c r="I38" s="513"/>
      <c r="J38" s="514"/>
      <c r="K38" s="514"/>
      <c r="L38" s="514"/>
      <c r="M38" s="514"/>
      <c r="N38" s="514"/>
      <c r="O38" s="514"/>
      <c r="P38" s="514"/>
      <c r="Q38" s="514"/>
      <c r="R38" s="515"/>
      <c r="S38" s="515"/>
      <c r="T38" s="515"/>
      <c r="U38" s="515"/>
      <c r="V38" s="515"/>
      <c r="W38" s="515"/>
      <c r="X38" s="515"/>
      <c r="Y38" s="515"/>
    </row>
    <row r="39" spans="1:25" ht="12" customHeight="1">
      <c r="A39" s="526"/>
      <c r="B39" s="527"/>
      <c r="C39" s="537" t="s">
        <v>40</v>
      </c>
      <c r="D39" s="550"/>
      <c r="E39" s="530"/>
      <c r="F39" s="530"/>
      <c r="G39" s="530"/>
      <c r="H39" s="530"/>
      <c r="I39" s="513"/>
      <c r="J39" s="514"/>
      <c r="K39" s="514"/>
      <c r="L39" s="514"/>
      <c r="M39" s="514"/>
      <c r="N39" s="514"/>
      <c r="O39" s="514"/>
      <c r="P39" s="514"/>
      <c r="Q39" s="514"/>
      <c r="R39" s="515"/>
      <c r="S39" s="515"/>
      <c r="T39" s="515"/>
      <c r="U39" s="515"/>
      <c r="V39" s="515"/>
      <c r="W39" s="515"/>
      <c r="X39" s="515"/>
      <c r="Y39" s="515"/>
    </row>
    <row r="40" spans="1:25" ht="15.75" customHeight="1">
      <c r="A40" s="526"/>
      <c r="B40" s="533"/>
      <c r="C40" s="533" t="s">
        <v>41</v>
      </c>
      <c r="D40" s="551"/>
      <c r="E40" s="535"/>
      <c r="F40" s="535"/>
      <c r="G40" s="535"/>
      <c r="H40" s="535"/>
      <c r="I40" s="513"/>
      <c r="J40" s="514"/>
      <c r="K40" s="514"/>
      <c r="L40" s="514"/>
      <c r="M40" s="514"/>
      <c r="N40" s="514"/>
      <c r="O40" s="514"/>
      <c r="P40" s="514"/>
      <c r="Q40" s="514"/>
      <c r="R40" s="515"/>
      <c r="S40" s="515"/>
      <c r="T40" s="515"/>
      <c r="U40" s="515"/>
      <c r="V40" s="515"/>
      <c r="W40" s="515"/>
      <c r="X40" s="515"/>
      <c r="Y40" s="515"/>
    </row>
    <row r="41" spans="1:25" ht="15.75" customHeight="1">
      <c r="A41" s="526"/>
      <c r="B41" s="700" t="s">
        <v>42</v>
      </c>
      <c r="C41" s="537" t="s">
        <v>1570</v>
      </c>
      <c r="D41" s="552"/>
      <c r="E41" s="539"/>
      <c r="F41" s="539"/>
      <c r="G41" s="539" t="s">
        <v>43</v>
      </c>
      <c r="H41" s="705"/>
      <c r="I41" s="513"/>
      <c r="J41" s="514"/>
      <c r="K41" s="514"/>
      <c r="L41" s="514"/>
      <c r="M41" s="514"/>
      <c r="N41" s="514"/>
      <c r="O41" s="514"/>
      <c r="P41" s="514"/>
      <c r="Q41" s="514"/>
      <c r="R41" s="515"/>
      <c r="S41" s="515"/>
      <c r="T41" s="515"/>
      <c r="U41" s="515"/>
      <c r="V41" s="515"/>
      <c r="W41" s="515"/>
      <c r="X41" s="515"/>
      <c r="Y41" s="515"/>
    </row>
    <row r="42" spans="1:25" ht="109.25" customHeight="1">
      <c r="A42" s="526"/>
      <c r="B42" s="698"/>
      <c r="C42" s="527" t="s">
        <v>44</v>
      </c>
      <c r="D42" s="550"/>
      <c r="E42" s="530"/>
      <c r="F42" s="530"/>
      <c r="G42" s="530"/>
      <c r="H42" s="702"/>
      <c r="I42" s="513"/>
      <c r="J42" s="514"/>
      <c r="K42" s="514"/>
      <c r="L42" s="514"/>
      <c r="M42" s="514"/>
      <c r="N42" s="514"/>
      <c r="O42" s="514"/>
      <c r="P42" s="514"/>
      <c r="Q42" s="514"/>
      <c r="R42" s="515"/>
      <c r="S42" s="515"/>
      <c r="T42" s="515"/>
      <c r="U42" s="515"/>
      <c r="V42" s="515"/>
      <c r="W42" s="515"/>
      <c r="X42" s="515"/>
      <c r="Y42" s="515"/>
    </row>
    <row r="43" spans="1:25" ht="15.75" customHeight="1">
      <c r="A43" s="526"/>
      <c r="B43" s="698"/>
      <c r="C43" s="537" t="s">
        <v>1574</v>
      </c>
      <c r="D43" s="550"/>
      <c r="E43" s="530"/>
      <c r="F43" s="530"/>
      <c r="G43" s="530"/>
      <c r="H43" s="702"/>
      <c r="I43" s="513"/>
      <c r="J43" s="514"/>
      <c r="K43" s="514"/>
      <c r="L43" s="514"/>
      <c r="M43" s="514"/>
      <c r="N43" s="514"/>
      <c r="O43" s="514"/>
      <c r="P43" s="514"/>
      <c r="Q43" s="514"/>
      <c r="R43" s="515"/>
      <c r="S43" s="515"/>
      <c r="T43" s="515"/>
      <c r="U43" s="515"/>
      <c r="V43" s="515"/>
      <c r="W43" s="515"/>
      <c r="X43" s="515"/>
      <c r="Y43" s="515"/>
    </row>
    <row r="44" spans="1:25" ht="15.75" customHeight="1">
      <c r="A44" s="526"/>
      <c r="B44" s="698"/>
      <c r="C44" s="527" t="s">
        <v>45</v>
      </c>
      <c r="D44" s="550"/>
      <c r="E44" s="530"/>
      <c r="F44" s="530"/>
      <c r="G44" s="530"/>
      <c r="H44" s="702"/>
      <c r="I44" s="513"/>
      <c r="J44" s="514"/>
      <c r="K44" s="514"/>
      <c r="L44" s="514"/>
      <c r="M44" s="514"/>
      <c r="N44" s="514"/>
      <c r="O44" s="514"/>
      <c r="P44" s="514"/>
      <c r="Q44" s="514"/>
      <c r="R44" s="515"/>
      <c r="S44" s="515"/>
      <c r="T44" s="515"/>
      <c r="U44" s="515"/>
      <c r="V44" s="515"/>
      <c r="W44" s="515"/>
      <c r="X44" s="515"/>
      <c r="Y44" s="515"/>
    </row>
    <row r="45" spans="1:25" ht="15.75" customHeight="1">
      <c r="A45" s="526"/>
      <c r="B45" s="698"/>
      <c r="C45" s="537" t="s">
        <v>1577</v>
      </c>
      <c r="D45" s="550"/>
      <c r="E45" s="530"/>
      <c r="F45" s="530"/>
      <c r="G45" s="530"/>
      <c r="H45" s="702"/>
      <c r="I45" s="513"/>
      <c r="J45" s="514"/>
      <c r="K45" s="514"/>
      <c r="L45" s="514"/>
      <c r="M45" s="514"/>
      <c r="N45" s="514"/>
      <c r="O45" s="514"/>
      <c r="P45" s="514"/>
      <c r="Q45" s="514"/>
      <c r="R45" s="515"/>
      <c r="S45" s="515"/>
      <c r="T45" s="515"/>
      <c r="U45" s="515"/>
      <c r="V45" s="515"/>
      <c r="W45" s="515"/>
      <c r="X45" s="515"/>
      <c r="Y45" s="515"/>
    </row>
    <row r="46" spans="1:25" ht="15.75" customHeight="1">
      <c r="A46" s="526"/>
      <c r="B46" s="698"/>
      <c r="C46" s="527" t="s">
        <v>46</v>
      </c>
      <c r="D46" s="550"/>
      <c r="E46" s="530"/>
      <c r="F46" s="530"/>
      <c r="G46" s="530"/>
      <c r="H46" s="702"/>
      <c r="I46" s="513"/>
      <c r="J46" s="514"/>
      <c r="K46" s="514"/>
      <c r="L46" s="514"/>
      <c r="M46" s="514"/>
      <c r="N46" s="514"/>
      <c r="O46" s="514"/>
      <c r="P46" s="514"/>
      <c r="Q46" s="514"/>
      <c r="R46" s="515"/>
      <c r="S46" s="515"/>
      <c r="T46" s="515"/>
      <c r="U46" s="515"/>
      <c r="V46" s="515"/>
      <c r="W46" s="515"/>
      <c r="X46" s="515"/>
      <c r="Y46" s="515"/>
    </row>
    <row r="47" spans="1:25" ht="15.75" customHeight="1">
      <c r="A47" s="526"/>
      <c r="B47" s="698"/>
      <c r="C47" s="553" t="s">
        <v>47</v>
      </c>
      <c r="D47" s="550"/>
      <c r="E47" s="530"/>
      <c r="F47" s="530"/>
      <c r="G47" s="530"/>
      <c r="H47" s="702"/>
      <c r="I47" s="513"/>
      <c r="J47" s="514"/>
      <c r="K47" s="514"/>
      <c r="L47" s="514"/>
      <c r="M47" s="514"/>
      <c r="N47" s="514"/>
      <c r="O47" s="514"/>
      <c r="P47" s="514"/>
      <c r="Q47" s="514"/>
      <c r="R47" s="515"/>
      <c r="S47" s="515"/>
      <c r="T47" s="515"/>
      <c r="U47" s="515"/>
      <c r="V47" s="515"/>
      <c r="W47" s="515"/>
      <c r="X47" s="515"/>
      <c r="Y47" s="515"/>
    </row>
    <row r="48" spans="1:25" ht="12" customHeight="1">
      <c r="A48" s="526"/>
      <c r="B48" s="698"/>
      <c r="C48" s="553" t="s">
        <v>1578</v>
      </c>
      <c r="D48" s="550"/>
      <c r="E48" s="530"/>
      <c r="F48" s="530"/>
      <c r="G48" s="530"/>
      <c r="H48" s="702"/>
      <c r="I48" s="513"/>
      <c r="J48" s="514"/>
      <c r="K48" s="514"/>
      <c r="L48" s="514"/>
      <c r="M48" s="514"/>
      <c r="N48" s="514"/>
      <c r="O48" s="514"/>
      <c r="P48" s="514"/>
      <c r="Q48" s="514"/>
      <c r="R48" s="515"/>
      <c r="S48" s="515"/>
      <c r="T48" s="515"/>
      <c r="U48" s="515"/>
      <c r="V48" s="515"/>
      <c r="W48" s="515"/>
      <c r="X48" s="515"/>
      <c r="Y48" s="515"/>
    </row>
    <row r="49" spans="1:25" ht="12" customHeight="1">
      <c r="A49" s="526"/>
      <c r="B49" s="698"/>
      <c r="C49" s="492" t="s">
        <v>217</v>
      </c>
      <c r="D49" s="550"/>
      <c r="E49" s="530"/>
      <c r="F49" s="530"/>
      <c r="G49" s="530"/>
      <c r="H49" s="702"/>
      <c r="I49" s="513"/>
      <c r="J49" s="514"/>
      <c r="K49" s="514"/>
      <c r="L49" s="514"/>
      <c r="M49" s="514"/>
      <c r="N49" s="514"/>
      <c r="O49" s="514"/>
      <c r="P49" s="514"/>
      <c r="Q49" s="514"/>
      <c r="R49" s="515"/>
      <c r="S49" s="515"/>
      <c r="T49" s="515"/>
      <c r="U49" s="515"/>
      <c r="V49" s="515"/>
      <c r="W49" s="515"/>
      <c r="X49" s="515"/>
      <c r="Y49" s="515"/>
    </row>
    <row r="50" spans="1:25">
      <c r="A50" s="526"/>
      <c r="B50" s="699"/>
      <c r="C50" s="554" t="s">
        <v>216</v>
      </c>
      <c r="D50" s="551"/>
      <c r="E50" s="535"/>
      <c r="F50" s="535"/>
      <c r="G50" s="535"/>
      <c r="H50" s="703"/>
      <c r="I50" s="513"/>
      <c r="J50" s="514"/>
      <c r="K50" s="514"/>
      <c r="L50" s="514"/>
      <c r="M50" s="514"/>
      <c r="N50" s="514"/>
      <c r="O50" s="514"/>
      <c r="P50" s="514"/>
      <c r="Q50" s="514"/>
      <c r="R50" s="515"/>
      <c r="S50" s="515"/>
      <c r="T50" s="515"/>
      <c r="U50" s="515"/>
      <c r="V50" s="515"/>
      <c r="W50" s="515"/>
      <c r="X50" s="515"/>
      <c r="Y50" s="515"/>
    </row>
    <row r="51" spans="1:25" ht="15.75" customHeight="1">
      <c r="A51" s="526"/>
      <c r="B51" s="700"/>
      <c r="C51" s="537" t="s">
        <v>1570</v>
      </c>
      <c r="D51" s="552"/>
      <c r="E51" s="540">
        <v>6</v>
      </c>
      <c r="F51" s="539"/>
      <c r="G51" s="539" t="s">
        <v>48</v>
      </c>
      <c r="H51" s="705"/>
      <c r="I51" s="513"/>
      <c r="J51" s="514"/>
      <c r="K51" s="514"/>
      <c r="L51" s="514"/>
      <c r="M51" s="514"/>
      <c r="N51" s="514"/>
      <c r="O51" s="514"/>
      <c r="P51" s="514"/>
      <c r="Q51" s="514"/>
      <c r="R51" s="515"/>
      <c r="S51" s="515"/>
      <c r="T51" s="515"/>
      <c r="U51" s="515"/>
      <c r="V51" s="515"/>
      <c r="W51" s="515"/>
      <c r="X51" s="515"/>
      <c r="Y51" s="515"/>
    </row>
    <row r="52" spans="1:25" ht="50" customHeight="1">
      <c r="A52" s="526"/>
      <c r="B52" s="698"/>
      <c r="C52" s="527" t="s">
        <v>49</v>
      </c>
      <c r="D52" s="550"/>
      <c r="E52" s="530"/>
      <c r="F52" s="530"/>
      <c r="G52" s="530"/>
      <c r="H52" s="702"/>
      <c r="I52" s="513"/>
      <c r="J52" s="514"/>
      <c r="K52" s="514"/>
      <c r="L52" s="514"/>
      <c r="M52" s="514"/>
      <c r="N52" s="514"/>
      <c r="O52" s="514"/>
      <c r="P52" s="514"/>
      <c r="Q52" s="514"/>
      <c r="R52" s="515"/>
      <c r="S52" s="515"/>
      <c r="T52" s="515"/>
      <c r="U52" s="515"/>
      <c r="V52" s="515"/>
      <c r="W52" s="515"/>
      <c r="X52" s="515"/>
      <c r="Y52" s="515"/>
    </row>
    <row r="53" spans="1:25" ht="15.75" customHeight="1">
      <c r="A53" s="526"/>
      <c r="B53" s="698"/>
      <c r="C53" s="537" t="s">
        <v>1574</v>
      </c>
      <c r="D53" s="550"/>
      <c r="E53" s="530"/>
      <c r="F53" s="530"/>
      <c r="G53" s="530"/>
      <c r="H53" s="702"/>
      <c r="I53" s="513"/>
      <c r="J53" s="514"/>
      <c r="K53" s="514"/>
      <c r="L53" s="514"/>
      <c r="M53" s="514"/>
      <c r="N53" s="514"/>
      <c r="O53" s="514"/>
      <c r="P53" s="514"/>
      <c r="Q53" s="514"/>
      <c r="R53" s="515"/>
      <c r="S53" s="515"/>
      <c r="T53" s="515"/>
      <c r="U53" s="515"/>
      <c r="V53" s="515"/>
      <c r="W53" s="515"/>
      <c r="X53" s="515"/>
      <c r="Y53" s="515"/>
    </row>
    <row r="54" spans="1:25" ht="39.25" customHeight="1">
      <c r="A54" s="526"/>
      <c r="B54" s="698"/>
      <c r="C54" s="527" t="s">
        <v>50</v>
      </c>
      <c r="D54" s="550"/>
      <c r="E54" s="530"/>
      <c r="F54" s="530"/>
      <c r="G54" s="530"/>
      <c r="H54" s="702"/>
      <c r="I54" s="513"/>
      <c r="J54" s="514"/>
      <c r="K54" s="514"/>
      <c r="L54" s="514"/>
      <c r="M54" s="514"/>
      <c r="N54" s="514"/>
      <c r="O54" s="514"/>
      <c r="P54" s="514"/>
      <c r="Q54" s="514"/>
      <c r="R54" s="515"/>
      <c r="S54" s="515"/>
      <c r="T54" s="515"/>
      <c r="U54" s="515"/>
      <c r="V54" s="515"/>
      <c r="W54" s="515"/>
      <c r="X54" s="515"/>
      <c r="Y54" s="515"/>
    </row>
    <row r="55" spans="1:25" ht="15.75" customHeight="1">
      <c r="A55" s="526"/>
      <c r="B55" s="698"/>
      <c r="C55" s="553" t="s">
        <v>47</v>
      </c>
      <c r="D55" s="550"/>
      <c r="E55" s="530"/>
      <c r="F55" s="530"/>
      <c r="G55" s="530"/>
      <c r="H55" s="702"/>
      <c r="I55" s="513"/>
      <c r="J55" s="514"/>
      <c r="K55" s="514"/>
      <c r="L55" s="514"/>
      <c r="M55" s="514"/>
      <c r="N55" s="514"/>
      <c r="O55" s="514"/>
      <c r="P55" s="514"/>
      <c r="Q55" s="514"/>
      <c r="R55" s="515"/>
      <c r="S55" s="515"/>
      <c r="T55" s="515"/>
      <c r="U55" s="515"/>
      <c r="V55" s="515"/>
      <c r="W55" s="515"/>
      <c r="X55" s="515"/>
      <c r="Y55" s="515"/>
    </row>
    <row r="56" spans="1:25" ht="15.75" customHeight="1">
      <c r="A56" s="526"/>
      <c r="B56" s="698"/>
      <c r="C56" s="528" t="s">
        <v>1579</v>
      </c>
      <c r="D56" s="550"/>
      <c r="E56" s="530"/>
      <c r="F56" s="530"/>
      <c r="G56" s="530"/>
      <c r="H56" s="702"/>
      <c r="I56" s="513"/>
      <c r="J56" s="514"/>
      <c r="K56" s="514"/>
      <c r="L56" s="514"/>
      <c r="M56" s="514"/>
      <c r="N56" s="514"/>
      <c r="O56" s="514"/>
      <c r="P56" s="514"/>
      <c r="Q56" s="514"/>
      <c r="R56" s="515"/>
      <c r="S56" s="515"/>
      <c r="T56" s="515"/>
      <c r="U56" s="515"/>
      <c r="V56" s="515"/>
      <c r="W56" s="515"/>
      <c r="X56" s="515"/>
      <c r="Y56" s="515"/>
    </row>
    <row r="57" spans="1:25" ht="15.75" customHeight="1">
      <c r="A57" s="526"/>
      <c r="B57" s="698"/>
      <c r="C57" s="528" t="s">
        <v>186</v>
      </c>
      <c r="D57" s="550"/>
      <c r="E57" s="530"/>
      <c r="F57" s="530"/>
      <c r="G57" s="530"/>
      <c r="H57" s="702"/>
      <c r="I57" s="513"/>
      <c r="J57" s="514"/>
      <c r="K57" s="514"/>
      <c r="L57" s="514"/>
      <c r="M57" s="514"/>
      <c r="N57" s="514"/>
      <c r="O57" s="514"/>
      <c r="P57" s="514"/>
      <c r="Q57" s="514"/>
      <c r="R57" s="515"/>
      <c r="S57" s="515"/>
      <c r="T57" s="515"/>
      <c r="U57" s="515"/>
      <c r="V57" s="515"/>
      <c r="W57" s="515"/>
      <c r="X57" s="515"/>
      <c r="Y57" s="515"/>
    </row>
    <row r="58" spans="1:25" ht="15.75" customHeight="1">
      <c r="A58" s="526"/>
      <c r="B58" s="698"/>
      <c r="C58" s="528" t="s">
        <v>1580</v>
      </c>
      <c r="D58" s="550"/>
      <c r="E58" s="530"/>
      <c r="F58" s="530"/>
      <c r="G58" s="530"/>
      <c r="H58" s="702"/>
      <c r="I58" s="513"/>
      <c r="J58" s="514"/>
      <c r="K58" s="514"/>
      <c r="L58" s="514"/>
      <c r="M58" s="514"/>
      <c r="N58" s="514"/>
      <c r="O58" s="514"/>
      <c r="P58" s="514"/>
      <c r="Q58" s="514"/>
      <c r="R58" s="515"/>
      <c r="S58" s="515"/>
      <c r="T58" s="515"/>
      <c r="U58" s="515"/>
      <c r="V58" s="515"/>
      <c r="W58" s="515"/>
      <c r="X58" s="515"/>
      <c r="Y58" s="515"/>
    </row>
    <row r="59" spans="1:25" ht="15.75" customHeight="1">
      <c r="A59" s="526"/>
      <c r="B59" s="698"/>
      <c r="C59" s="528" t="s">
        <v>193</v>
      </c>
      <c r="D59" s="550"/>
      <c r="E59" s="530"/>
      <c r="F59" s="530"/>
      <c r="G59" s="530"/>
      <c r="H59" s="702"/>
      <c r="I59" s="513"/>
      <c r="J59" s="514"/>
      <c r="K59" s="514"/>
      <c r="L59" s="514"/>
      <c r="M59" s="514"/>
      <c r="N59" s="514"/>
      <c r="O59" s="514"/>
      <c r="P59" s="514"/>
      <c r="Q59" s="514"/>
      <c r="R59" s="515"/>
      <c r="S59" s="515"/>
      <c r="T59" s="515"/>
      <c r="U59" s="515"/>
      <c r="V59" s="515"/>
      <c r="W59" s="515"/>
      <c r="X59" s="515"/>
      <c r="Y59" s="515"/>
    </row>
    <row r="60" spans="1:25">
      <c r="A60" s="526"/>
      <c r="B60" s="698"/>
      <c r="C60" s="528" t="s">
        <v>1591</v>
      </c>
      <c r="D60" s="550"/>
      <c r="E60" s="530"/>
      <c r="F60" s="530"/>
      <c r="G60" s="530"/>
      <c r="H60" s="702"/>
      <c r="I60" s="513"/>
      <c r="J60" s="514"/>
      <c r="K60" s="514"/>
      <c r="L60" s="514"/>
      <c r="M60" s="514"/>
      <c r="N60" s="514"/>
      <c r="O60" s="514"/>
      <c r="P60" s="514"/>
      <c r="Q60" s="514"/>
      <c r="R60" s="515"/>
      <c r="S60" s="515"/>
      <c r="T60" s="515"/>
      <c r="U60" s="515"/>
      <c r="V60" s="515"/>
      <c r="W60" s="515"/>
      <c r="X60" s="515"/>
      <c r="Y60" s="515"/>
    </row>
    <row r="61" spans="1:25">
      <c r="A61" s="526"/>
      <c r="B61" s="706"/>
      <c r="C61" s="506" t="s">
        <v>371</v>
      </c>
      <c r="D61" s="551"/>
      <c r="E61" s="535"/>
      <c r="F61" s="535"/>
      <c r="G61" s="535"/>
      <c r="H61" s="703"/>
      <c r="I61" s="513"/>
      <c r="J61" s="514"/>
      <c r="K61" s="514"/>
      <c r="L61" s="514"/>
      <c r="M61" s="514"/>
      <c r="N61" s="514"/>
      <c r="O61" s="514"/>
      <c r="P61" s="514"/>
      <c r="Q61" s="514"/>
      <c r="R61" s="515"/>
      <c r="S61" s="515"/>
      <c r="T61" s="515"/>
      <c r="U61" s="515"/>
      <c r="V61" s="515"/>
      <c r="W61" s="515"/>
      <c r="X61" s="515"/>
      <c r="Y61" s="515"/>
    </row>
    <row r="62" spans="1:25" ht="35" customHeight="1">
      <c r="A62" s="526"/>
      <c r="B62" s="694" t="s">
        <v>51</v>
      </c>
      <c r="C62" s="527" t="s">
        <v>52</v>
      </c>
      <c r="D62" s="550"/>
      <c r="E62" s="541">
        <v>6</v>
      </c>
      <c r="F62" s="530"/>
      <c r="G62" s="530" t="s">
        <v>48</v>
      </c>
      <c r="H62" s="709"/>
      <c r="I62" s="513"/>
      <c r="J62" s="514"/>
      <c r="K62" s="514"/>
      <c r="L62" s="514"/>
      <c r="M62" s="514"/>
      <c r="N62" s="514"/>
      <c r="O62" s="514"/>
      <c r="P62" s="514"/>
      <c r="Q62" s="514"/>
      <c r="R62" s="515"/>
      <c r="S62" s="515"/>
      <c r="T62" s="515"/>
      <c r="U62" s="515"/>
      <c r="V62" s="515"/>
      <c r="W62" s="515"/>
      <c r="X62" s="515"/>
      <c r="Y62" s="515"/>
    </row>
    <row r="63" spans="1:25" ht="15.75" customHeight="1">
      <c r="A63" s="526"/>
      <c r="B63" s="707"/>
      <c r="C63" s="554" t="s">
        <v>53</v>
      </c>
      <c r="D63" s="550"/>
      <c r="E63" s="555"/>
      <c r="F63" s="555"/>
      <c r="G63" s="555"/>
      <c r="H63" s="710"/>
      <c r="I63" s="513"/>
      <c r="J63" s="514"/>
      <c r="K63" s="514"/>
      <c r="L63" s="514"/>
      <c r="M63" s="514"/>
      <c r="N63" s="514"/>
      <c r="O63" s="514"/>
      <c r="P63" s="514"/>
      <c r="Q63" s="514"/>
      <c r="R63" s="515"/>
      <c r="S63" s="515"/>
      <c r="T63" s="515"/>
      <c r="U63" s="515"/>
      <c r="V63" s="515"/>
      <c r="W63" s="515"/>
      <c r="X63" s="515"/>
      <c r="Y63" s="515"/>
    </row>
    <row r="64" spans="1:25" ht="15.75" customHeight="1">
      <c r="A64" s="526"/>
      <c r="B64" s="708" t="s">
        <v>54</v>
      </c>
      <c r="C64" s="537" t="s">
        <v>26</v>
      </c>
      <c r="D64" s="550"/>
      <c r="E64" s="556">
        <v>10</v>
      </c>
      <c r="F64" s="557" t="s">
        <v>55</v>
      </c>
      <c r="G64" s="557"/>
      <c r="H64" s="557"/>
      <c r="I64" s="513"/>
      <c r="J64" s="514"/>
      <c r="K64" s="514"/>
      <c r="L64" s="514"/>
      <c r="M64" s="514"/>
      <c r="N64" s="514"/>
      <c r="O64" s="514"/>
      <c r="P64" s="514"/>
      <c r="Q64" s="514"/>
      <c r="R64" s="515"/>
      <c r="S64" s="515"/>
      <c r="T64" s="515"/>
      <c r="U64" s="515"/>
      <c r="V64" s="515"/>
      <c r="W64" s="515"/>
      <c r="X64" s="515"/>
      <c r="Y64" s="515"/>
    </row>
    <row r="65" spans="1:25" ht="15.75" customHeight="1">
      <c r="A65" s="526"/>
      <c r="B65" s="698"/>
      <c r="C65" s="527" t="s">
        <v>56</v>
      </c>
      <c r="D65" s="550"/>
      <c r="E65" s="530"/>
      <c r="F65" s="530"/>
      <c r="G65" s="530"/>
      <c r="H65" s="530"/>
      <c r="I65" s="513"/>
      <c r="J65" s="514"/>
      <c r="K65" s="514"/>
      <c r="L65" s="514"/>
      <c r="M65" s="514"/>
      <c r="N65" s="514"/>
      <c r="O65" s="514"/>
      <c r="P65" s="514"/>
      <c r="Q65" s="514"/>
      <c r="R65" s="515"/>
      <c r="S65" s="515"/>
      <c r="T65" s="515"/>
      <c r="U65" s="515"/>
      <c r="V65" s="515"/>
      <c r="W65" s="515"/>
      <c r="X65" s="515"/>
      <c r="Y65" s="515"/>
    </row>
    <row r="66" spans="1:25" ht="15.75" customHeight="1">
      <c r="A66" s="526"/>
      <c r="B66" s="698"/>
      <c r="C66" s="537" t="s">
        <v>57</v>
      </c>
      <c r="D66" s="550"/>
      <c r="E66" s="530"/>
      <c r="F66" s="530"/>
      <c r="G66" s="530"/>
      <c r="H66" s="530"/>
      <c r="I66" s="513"/>
      <c r="J66" s="514"/>
      <c r="K66" s="514"/>
      <c r="L66" s="514"/>
      <c r="M66" s="514"/>
      <c r="N66" s="514"/>
      <c r="O66" s="514"/>
      <c r="P66" s="514"/>
      <c r="Q66" s="514"/>
      <c r="R66" s="515"/>
      <c r="S66" s="515"/>
      <c r="T66" s="515"/>
      <c r="U66" s="515"/>
      <c r="V66" s="515"/>
      <c r="W66" s="515"/>
      <c r="X66" s="515"/>
      <c r="Y66" s="515"/>
    </row>
    <row r="67" spans="1:25" ht="15.75" customHeight="1">
      <c r="A67" s="526"/>
      <c r="B67" s="698"/>
      <c r="C67" s="527" t="s">
        <v>58</v>
      </c>
      <c r="D67" s="550"/>
      <c r="E67" s="530"/>
      <c r="F67" s="530"/>
      <c r="G67" s="530"/>
      <c r="H67" s="530"/>
      <c r="I67" s="513"/>
      <c r="J67" s="514"/>
      <c r="K67" s="514"/>
      <c r="L67" s="514"/>
      <c r="M67" s="514"/>
      <c r="N67" s="514"/>
      <c r="O67" s="514"/>
      <c r="P67" s="514"/>
      <c r="Q67" s="514"/>
      <c r="R67" s="515"/>
      <c r="S67" s="515"/>
      <c r="T67" s="515"/>
      <c r="U67" s="515"/>
      <c r="V67" s="515"/>
      <c r="W67" s="515"/>
      <c r="X67" s="515"/>
      <c r="Y67" s="515"/>
    </row>
    <row r="68" spans="1:25" ht="15.75" customHeight="1">
      <c r="A68" s="526"/>
      <c r="B68" s="698"/>
      <c r="C68" s="553" t="s">
        <v>47</v>
      </c>
      <c r="D68" s="550"/>
      <c r="E68" s="530"/>
      <c r="F68" s="530"/>
      <c r="G68" s="530"/>
      <c r="H68" s="530"/>
      <c r="I68" s="513"/>
      <c r="J68" s="514"/>
      <c r="K68" s="514"/>
      <c r="L68" s="514"/>
      <c r="M68" s="514"/>
      <c r="N68" s="514"/>
      <c r="O68" s="514"/>
      <c r="P68" s="514"/>
      <c r="Q68" s="514"/>
      <c r="R68" s="515"/>
      <c r="S68" s="515"/>
      <c r="T68" s="515"/>
      <c r="U68" s="515"/>
      <c r="V68" s="515"/>
      <c r="W68" s="515"/>
      <c r="X68" s="515"/>
      <c r="Y68" s="515"/>
    </row>
    <row r="69" spans="1:25" ht="15.75" customHeight="1">
      <c r="A69" s="526"/>
      <c r="B69" s="699"/>
      <c r="C69" s="494" t="s">
        <v>59</v>
      </c>
      <c r="D69" s="551"/>
      <c r="E69" s="535"/>
      <c r="F69" s="535"/>
      <c r="G69" s="535"/>
      <c r="H69" s="535"/>
      <c r="I69" s="513"/>
      <c r="J69" s="514"/>
      <c r="K69" s="514"/>
      <c r="L69" s="514"/>
      <c r="M69" s="514"/>
      <c r="N69" s="514"/>
      <c r="O69" s="514"/>
      <c r="P69" s="514"/>
      <c r="Q69" s="514"/>
      <c r="R69" s="515"/>
      <c r="S69" s="515"/>
      <c r="T69" s="515"/>
      <c r="U69" s="515"/>
      <c r="V69" s="515"/>
      <c r="W69" s="515"/>
      <c r="X69" s="515"/>
      <c r="Y69" s="515"/>
    </row>
    <row r="70" spans="1:25" ht="15.75" customHeight="1">
      <c r="A70" s="526"/>
      <c r="B70" s="700" t="s">
        <v>60</v>
      </c>
      <c r="C70" s="537" t="s">
        <v>1573</v>
      </c>
      <c r="D70" s="552"/>
      <c r="E70" s="540">
        <v>10</v>
      </c>
      <c r="F70" s="539" t="s">
        <v>55</v>
      </c>
      <c r="G70" s="539"/>
      <c r="H70" s="705"/>
      <c r="I70" s="513"/>
      <c r="J70" s="514"/>
      <c r="K70" s="514"/>
      <c r="L70" s="514"/>
      <c r="M70" s="514"/>
      <c r="N70" s="514"/>
      <c r="O70" s="514"/>
      <c r="P70" s="514"/>
      <c r="Q70" s="514"/>
      <c r="R70" s="515"/>
      <c r="S70" s="515"/>
      <c r="T70" s="515"/>
      <c r="U70" s="515"/>
      <c r="V70" s="515"/>
      <c r="W70" s="515"/>
      <c r="X70" s="515"/>
      <c r="Y70" s="515"/>
    </row>
    <row r="71" spans="1:25" ht="39.25" customHeight="1">
      <c r="A71" s="526"/>
      <c r="B71" s="698"/>
      <c r="C71" s="527" t="s">
        <v>61</v>
      </c>
      <c r="D71" s="550"/>
      <c r="E71" s="530"/>
      <c r="F71" s="530"/>
      <c r="G71" s="530"/>
      <c r="H71" s="702"/>
      <c r="I71" s="513"/>
      <c r="J71" s="514"/>
      <c r="K71" s="514"/>
      <c r="L71" s="514"/>
      <c r="M71" s="514"/>
      <c r="N71" s="514"/>
      <c r="O71" s="514"/>
      <c r="P71" s="514"/>
      <c r="Q71" s="514"/>
      <c r="R71" s="515"/>
      <c r="S71" s="515"/>
      <c r="T71" s="515"/>
      <c r="U71" s="515"/>
      <c r="V71" s="515"/>
      <c r="W71" s="515"/>
      <c r="X71" s="515"/>
      <c r="Y71" s="515"/>
    </row>
    <row r="72" spans="1:25" ht="15.75" customHeight="1">
      <c r="A72" s="526"/>
      <c r="B72" s="698"/>
      <c r="C72" s="553" t="s">
        <v>47</v>
      </c>
      <c r="D72" s="550"/>
      <c r="E72" s="530"/>
      <c r="F72" s="530"/>
      <c r="G72" s="530"/>
      <c r="H72" s="702"/>
      <c r="I72" s="513"/>
      <c r="J72" s="514"/>
      <c r="K72" s="514"/>
      <c r="L72" s="514"/>
      <c r="M72" s="514"/>
      <c r="N72" s="514"/>
      <c r="O72" s="514"/>
      <c r="P72" s="514"/>
      <c r="Q72" s="514"/>
      <c r="R72" s="515"/>
      <c r="S72" s="515"/>
      <c r="T72" s="515"/>
      <c r="U72" s="515"/>
      <c r="V72" s="515"/>
      <c r="W72" s="515"/>
      <c r="X72" s="515"/>
      <c r="Y72" s="515"/>
    </row>
    <row r="73" spans="1:25" ht="15.75" customHeight="1">
      <c r="A73" s="526"/>
      <c r="B73" s="698"/>
      <c r="C73" s="553" t="s">
        <v>1559</v>
      </c>
      <c r="D73" s="550"/>
      <c r="E73" s="530"/>
      <c r="F73" s="530"/>
      <c r="G73" s="530"/>
      <c r="H73" s="702"/>
      <c r="I73" s="513"/>
      <c r="J73" s="514"/>
      <c r="K73" s="514"/>
      <c r="L73" s="514"/>
      <c r="M73" s="514"/>
      <c r="N73" s="514"/>
      <c r="O73" s="514"/>
      <c r="P73" s="514"/>
      <c r="Q73" s="514"/>
      <c r="R73" s="515"/>
      <c r="S73" s="515"/>
      <c r="T73" s="515"/>
      <c r="U73" s="515"/>
      <c r="V73" s="515"/>
      <c r="W73" s="515"/>
      <c r="X73" s="515"/>
      <c r="Y73" s="515"/>
    </row>
    <row r="74" spans="1:25" ht="18" customHeight="1">
      <c r="A74" s="526"/>
      <c r="B74" s="699"/>
      <c r="C74" s="494" t="s">
        <v>1560</v>
      </c>
      <c r="D74" s="551"/>
      <c r="E74" s="535"/>
      <c r="F74" s="535"/>
      <c r="G74" s="535"/>
      <c r="H74" s="703"/>
      <c r="I74" s="513"/>
      <c r="J74" s="514"/>
      <c r="K74" s="514"/>
      <c r="L74" s="514"/>
      <c r="M74" s="514"/>
      <c r="N74" s="514"/>
      <c r="O74" s="514"/>
      <c r="P74" s="514"/>
      <c r="Q74" s="514"/>
      <c r="R74" s="515"/>
      <c r="S74" s="515"/>
      <c r="T74" s="515"/>
      <c r="U74" s="515"/>
      <c r="V74" s="515"/>
      <c r="W74" s="515"/>
      <c r="X74" s="515"/>
      <c r="Y74" s="515"/>
    </row>
    <row r="75" spans="1:25" ht="15.75" customHeight="1">
      <c r="A75" s="526"/>
      <c r="B75" s="700" t="s">
        <v>62</v>
      </c>
      <c r="C75" s="537" t="s">
        <v>26</v>
      </c>
      <c r="D75" s="552"/>
      <c r="E75" s="540">
        <v>10</v>
      </c>
      <c r="F75" s="539" t="s">
        <v>55</v>
      </c>
      <c r="G75" s="539"/>
      <c r="H75" s="539"/>
      <c r="I75" s="513"/>
      <c r="J75" s="514"/>
      <c r="K75" s="514"/>
      <c r="L75" s="514"/>
      <c r="M75" s="514"/>
      <c r="N75" s="514"/>
      <c r="O75" s="514"/>
      <c r="P75" s="514"/>
      <c r="Q75" s="514"/>
      <c r="R75" s="515"/>
      <c r="S75" s="515"/>
      <c r="T75" s="515"/>
      <c r="U75" s="515"/>
      <c r="V75" s="515"/>
      <c r="W75" s="515"/>
      <c r="X75" s="515"/>
      <c r="Y75" s="515"/>
    </row>
    <row r="76" spans="1:25" ht="15.75" customHeight="1">
      <c r="A76" s="526"/>
      <c r="B76" s="698"/>
      <c r="C76" s="527" t="s">
        <v>56</v>
      </c>
      <c r="D76" s="550"/>
      <c r="E76" s="530"/>
      <c r="F76" s="530"/>
      <c r="G76" s="530"/>
      <c r="H76" s="530"/>
      <c r="I76" s="513"/>
      <c r="J76" s="514"/>
      <c r="K76" s="514"/>
      <c r="L76" s="514"/>
      <c r="M76" s="514"/>
      <c r="N76" s="514"/>
      <c r="O76" s="514"/>
      <c r="P76" s="514"/>
      <c r="Q76" s="514"/>
      <c r="R76" s="515"/>
      <c r="S76" s="515"/>
      <c r="T76" s="515"/>
      <c r="U76" s="515"/>
      <c r="V76" s="515"/>
      <c r="W76" s="515"/>
      <c r="X76" s="515"/>
      <c r="Y76" s="515"/>
    </row>
    <row r="77" spans="1:25" ht="15.75" customHeight="1">
      <c r="A77" s="526"/>
      <c r="B77" s="698"/>
      <c r="C77" s="537" t="s">
        <v>57</v>
      </c>
      <c r="D77" s="550"/>
      <c r="E77" s="530"/>
      <c r="F77" s="530"/>
      <c r="G77" s="530"/>
      <c r="H77" s="530"/>
      <c r="I77" s="513"/>
      <c r="J77" s="514"/>
      <c r="K77" s="514"/>
      <c r="L77" s="514"/>
      <c r="M77" s="514"/>
      <c r="N77" s="514"/>
      <c r="O77" s="514"/>
      <c r="P77" s="514"/>
      <c r="Q77" s="514"/>
      <c r="R77" s="515"/>
      <c r="S77" s="515"/>
      <c r="T77" s="515"/>
      <c r="U77" s="515"/>
      <c r="V77" s="515"/>
      <c r="W77" s="515"/>
      <c r="X77" s="515"/>
      <c r="Y77" s="515"/>
    </row>
    <row r="78" spans="1:25" ht="15.75" customHeight="1">
      <c r="A78" s="526"/>
      <c r="B78" s="699"/>
      <c r="C78" s="533" t="s">
        <v>63</v>
      </c>
      <c r="D78" s="551"/>
      <c r="E78" s="535"/>
      <c r="F78" s="535"/>
      <c r="G78" s="535"/>
      <c r="H78" s="535"/>
      <c r="I78" s="513"/>
      <c r="J78" s="514"/>
      <c r="K78" s="514"/>
      <c r="L78" s="514"/>
      <c r="M78" s="514"/>
      <c r="N78" s="514"/>
      <c r="O78" s="514"/>
      <c r="P78" s="514"/>
      <c r="Q78" s="514"/>
      <c r="R78" s="515"/>
      <c r="S78" s="515"/>
      <c r="T78" s="515"/>
      <c r="U78" s="515"/>
      <c r="V78" s="515"/>
      <c r="W78" s="515"/>
      <c r="X78" s="515"/>
      <c r="Y78" s="515"/>
    </row>
    <row r="79" spans="1:25" ht="15.75" customHeight="1">
      <c r="A79" s="526"/>
      <c r="B79" s="700" t="s">
        <v>64</v>
      </c>
      <c r="C79" s="537" t="s">
        <v>1570</v>
      </c>
      <c r="D79" s="552"/>
      <c r="E79" s="539" t="s">
        <v>65</v>
      </c>
      <c r="F79" s="539" t="s">
        <v>66</v>
      </c>
      <c r="G79" s="539"/>
      <c r="H79" s="705"/>
      <c r="I79" s="513"/>
      <c r="J79" s="514"/>
      <c r="K79" s="514"/>
      <c r="L79" s="514"/>
      <c r="M79" s="514"/>
      <c r="N79" s="514"/>
      <c r="O79" s="514"/>
      <c r="P79" s="514"/>
      <c r="Q79" s="514"/>
      <c r="R79" s="515"/>
      <c r="S79" s="515"/>
      <c r="T79" s="515"/>
      <c r="U79" s="515"/>
      <c r="V79" s="515"/>
      <c r="W79" s="515"/>
      <c r="X79" s="515"/>
      <c r="Y79" s="515"/>
    </row>
    <row r="80" spans="1:25" ht="125" customHeight="1">
      <c r="A80" s="526"/>
      <c r="B80" s="698"/>
      <c r="C80" s="527" t="s">
        <v>67</v>
      </c>
      <c r="D80" s="550"/>
      <c r="E80" s="530"/>
      <c r="F80" s="530"/>
      <c r="G80" s="530"/>
      <c r="H80" s="702"/>
      <c r="I80" s="513"/>
      <c r="J80" s="514"/>
      <c r="K80" s="514"/>
      <c r="L80" s="514"/>
      <c r="M80" s="514"/>
      <c r="N80" s="514"/>
      <c r="O80" s="514"/>
      <c r="P80" s="514"/>
      <c r="Q80" s="514"/>
      <c r="R80" s="515"/>
      <c r="S80" s="515"/>
      <c r="T80" s="515"/>
      <c r="U80" s="515"/>
      <c r="V80" s="515"/>
      <c r="W80" s="515"/>
      <c r="X80" s="515"/>
      <c r="Y80" s="515"/>
    </row>
    <row r="81" spans="1:25" ht="15.75" customHeight="1">
      <c r="A81" s="526"/>
      <c r="B81" s="698"/>
      <c r="C81" s="537" t="s">
        <v>38</v>
      </c>
      <c r="D81" s="550"/>
      <c r="E81" s="530"/>
      <c r="F81" s="530"/>
      <c r="G81" s="530"/>
      <c r="H81" s="702"/>
      <c r="I81" s="513"/>
      <c r="J81" s="514"/>
      <c r="K81" s="514"/>
      <c r="L81" s="514"/>
      <c r="M81" s="514"/>
      <c r="N81" s="514"/>
      <c r="O81" s="514"/>
      <c r="P81" s="514"/>
      <c r="Q81" s="514"/>
      <c r="R81" s="515"/>
      <c r="S81" s="515"/>
      <c r="T81" s="515"/>
      <c r="U81" s="515"/>
      <c r="V81" s="515"/>
      <c r="W81" s="515"/>
      <c r="X81" s="515"/>
      <c r="Y81" s="515"/>
    </row>
    <row r="82" spans="1:25" ht="15.75" customHeight="1">
      <c r="A82" s="526"/>
      <c r="B82" s="698"/>
      <c r="C82" s="527" t="s">
        <v>68</v>
      </c>
      <c r="D82" s="550"/>
      <c r="E82" s="530"/>
      <c r="F82" s="530"/>
      <c r="G82" s="530"/>
      <c r="H82" s="702"/>
      <c r="I82" s="513"/>
      <c r="J82" s="514"/>
      <c r="K82" s="514"/>
      <c r="L82" s="514"/>
      <c r="M82" s="514"/>
      <c r="N82" s="514"/>
      <c r="O82" s="514"/>
      <c r="P82" s="514"/>
      <c r="Q82" s="514"/>
      <c r="R82" s="515"/>
      <c r="S82" s="515"/>
      <c r="T82" s="515"/>
      <c r="U82" s="515"/>
      <c r="V82" s="515"/>
      <c r="W82" s="515"/>
      <c r="X82" s="515"/>
      <c r="Y82" s="515"/>
    </row>
    <row r="83" spans="1:25" ht="15.75" customHeight="1">
      <c r="A83" s="526"/>
      <c r="B83" s="698"/>
      <c r="C83" s="537" t="s">
        <v>57</v>
      </c>
      <c r="D83" s="550"/>
      <c r="E83" s="530"/>
      <c r="F83" s="530"/>
      <c r="G83" s="530"/>
      <c r="H83" s="702"/>
      <c r="I83" s="513"/>
      <c r="J83" s="514"/>
      <c r="K83" s="514"/>
      <c r="L83" s="514"/>
      <c r="M83" s="514"/>
      <c r="N83" s="514"/>
      <c r="O83" s="514"/>
      <c r="P83" s="514"/>
      <c r="Q83" s="514"/>
      <c r="R83" s="515"/>
      <c r="S83" s="515"/>
      <c r="T83" s="515"/>
      <c r="U83" s="515"/>
      <c r="V83" s="515"/>
      <c r="W83" s="515"/>
      <c r="X83" s="515"/>
      <c r="Y83" s="515"/>
    </row>
    <row r="84" spans="1:25" ht="15.75" customHeight="1">
      <c r="A84" s="526"/>
      <c r="B84" s="698"/>
      <c r="C84" s="527" t="s">
        <v>58</v>
      </c>
      <c r="D84" s="550"/>
      <c r="E84" s="530"/>
      <c r="F84" s="530"/>
      <c r="G84" s="530"/>
      <c r="H84" s="702"/>
      <c r="I84" s="513"/>
      <c r="J84" s="514"/>
      <c r="K84" s="514"/>
      <c r="L84" s="514"/>
      <c r="M84" s="514"/>
      <c r="N84" s="514"/>
      <c r="O84" s="514"/>
      <c r="P84" s="514"/>
      <c r="Q84" s="514"/>
      <c r="R84" s="515"/>
      <c r="S84" s="515"/>
      <c r="T84" s="515"/>
      <c r="U84" s="515"/>
      <c r="V84" s="515"/>
      <c r="W84" s="515"/>
      <c r="X84" s="515"/>
      <c r="Y84" s="515"/>
    </row>
    <row r="85" spans="1:25" ht="15.75" customHeight="1">
      <c r="A85" s="526"/>
      <c r="B85" s="698"/>
      <c r="C85" s="537" t="s">
        <v>40</v>
      </c>
      <c r="D85" s="550"/>
      <c r="E85" s="530"/>
      <c r="F85" s="530"/>
      <c r="G85" s="530"/>
      <c r="H85" s="702"/>
      <c r="I85" s="513"/>
      <c r="J85" s="514"/>
      <c r="K85" s="514"/>
      <c r="L85" s="514"/>
      <c r="M85" s="514"/>
      <c r="N85" s="514"/>
      <c r="O85" s="514"/>
      <c r="P85" s="514"/>
      <c r="Q85" s="514"/>
      <c r="R85" s="515"/>
      <c r="S85" s="515"/>
      <c r="T85" s="515"/>
      <c r="U85" s="515"/>
      <c r="V85" s="515"/>
      <c r="W85" s="515"/>
      <c r="X85" s="515"/>
      <c r="Y85" s="515"/>
    </row>
    <row r="86" spans="1:25" ht="15.75" customHeight="1">
      <c r="A86" s="526"/>
      <c r="B86" s="699"/>
      <c r="C86" s="533" t="s">
        <v>1605</v>
      </c>
      <c r="D86" s="551"/>
      <c r="E86" s="535"/>
      <c r="F86" s="535"/>
      <c r="G86" s="535"/>
      <c r="H86" s="703"/>
      <c r="I86" s="513"/>
      <c r="J86" s="514"/>
      <c r="K86" s="514"/>
      <c r="L86" s="514"/>
      <c r="M86" s="514"/>
      <c r="N86" s="514"/>
      <c r="O86" s="514"/>
      <c r="P86" s="514"/>
      <c r="Q86" s="514"/>
      <c r="R86" s="515"/>
      <c r="S86" s="515"/>
      <c r="T86" s="515"/>
      <c r="U86" s="515"/>
      <c r="V86" s="515"/>
      <c r="W86" s="515"/>
      <c r="X86" s="515"/>
      <c r="Y86" s="515"/>
    </row>
    <row r="87" spans="1:25" ht="15.75" customHeight="1">
      <c r="A87" s="526"/>
      <c r="B87" s="700" t="s">
        <v>69</v>
      </c>
      <c r="C87" s="537" t="s">
        <v>57</v>
      </c>
      <c r="D87" s="552"/>
      <c r="E87" s="540">
        <v>10</v>
      </c>
      <c r="F87" s="539" t="s">
        <v>55</v>
      </c>
      <c r="G87" s="539"/>
      <c r="H87" s="539"/>
      <c r="I87" s="513"/>
      <c r="J87" s="514"/>
      <c r="K87" s="514"/>
      <c r="L87" s="514"/>
      <c r="M87" s="514"/>
      <c r="N87" s="514"/>
      <c r="O87" s="514"/>
      <c r="P87" s="514"/>
      <c r="Q87" s="514"/>
      <c r="R87" s="515"/>
      <c r="S87" s="515"/>
      <c r="T87" s="515"/>
      <c r="U87" s="515"/>
      <c r="V87" s="515"/>
      <c r="W87" s="515"/>
      <c r="X87" s="515"/>
      <c r="Y87" s="515"/>
    </row>
    <row r="88" spans="1:25" ht="15.75" customHeight="1">
      <c r="A88" s="526"/>
      <c r="B88" s="698"/>
      <c r="C88" s="527" t="s">
        <v>58</v>
      </c>
      <c r="D88" s="550"/>
      <c r="E88" s="530"/>
      <c r="F88" s="530"/>
      <c r="G88" s="530"/>
      <c r="H88" s="530"/>
      <c r="I88" s="513"/>
      <c r="J88" s="514"/>
      <c r="K88" s="514"/>
      <c r="L88" s="514"/>
      <c r="M88" s="514"/>
      <c r="N88" s="514"/>
      <c r="O88" s="514"/>
      <c r="P88" s="514"/>
      <c r="Q88" s="514"/>
      <c r="R88" s="515"/>
      <c r="S88" s="515"/>
      <c r="T88" s="515"/>
      <c r="U88" s="515"/>
      <c r="V88" s="515"/>
      <c r="W88" s="515"/>
      <c r="X88" s="515"/>
      <c r="Y88" s="515"/>
    </row>
    <row r="89" spans="1:25" ht="15.75" customHeight="1">
      <c r="A89" s="526"/>
      <c r="B89" s="698"/>
      <c r="C89" s="537" t="s">
        <v>26</v>
      </c>
      <c r="D89" s="550"/>
      <c r="E89" s="530"/>
      <c r="F89" s="530"/>
      <c r="G89" s="530"/>
      <c r="H89" s="530"/>
      <c r="I89" s="513"/>
      <c r="J89" s="514"/>
      <c r="K89" s="514"/>
      <c r="L89" s="514"/>
      <c r="M89" s="514"/>
      <c r="N89" s="514"/>
      <c r="O89" s="514"/>
      <c r="P89" s="514"/>
      <c r="Q89" s="514"/>
      <c r="R89" s="515"/>
      <c r="S89" s="515"/>
      <c r="T89" s="515"/>
      <c r="U89" s="515"/>
      <c r="V89" s="515"/>
      <c r="W89" s="515"/>
      <c r="X89" s="515"/>
      <c r="Y89" s="515"/>
    </row>
    <row r="90" spans="1:25" ht="62.5" customHeight="1">
      <c r="A90" s="526"/>
      <c r="B90" s="698"/>
      <c r="C90" s="527" t="s">
        <v>70</v>
      </c>
      <c r="D90" s="550"/>
      <c r="E90" s="530"/>
      <c r="F90" s="530"/>
      <c r="G90" s="530"/>
      <c r="H90" s="530"/>
      <c r="I90" s="513"/>
      <c r="J90" s="514"/>
      <c r="K90" s="514"/>
      <c r="L90" s="514"/>
      <c r="M90" s="514"/>
      <c r="N90" s="514"/>
      <c r="O90" s="514"/>
      <c r="P90" s="514"/>
      <c r="Q90" s="514"/>
      <c r="R90" s="515"/>
      <c r="S90" s="515"/>
      <c r="T90" s="515"/>
      <c r="U90" s="515"/>
      <c r="V90" s="515"/>
      <c r="W90" s="515"/>
      <c r="X90" s="515"/>
      <c r="Y90" s="515"/>
    </row>
    <row r="91" spans="1:25" ht="15.75" customHeight="1">
      <c r="A91" s="526"/>
      <c r="B91" s="698"/>
      <c r="C91" s="537" t="s">
        <v>38</v>
      </c>
      <c r="D91" s="550"/>
      <c r="E91" s="530"/>
      <c r="F91" s="530"/>
      <c r="G91" s="530"/>
      <c r="H91" s="530"/>
      <c r="I91" s="513"/>
      <c r="J91" s="514"/>
      <c r="K91" s="514"/>
      <c r="L91" s="514"/>
      <c r="M91" s="514"/>
      <c r="N91" s="514"/>
      <c r="O91" s="514"/>
      <c r="P91" s="514"/>
      <c r="Q91" s="514"/>
      <c r="R91" s="515"/>
      <c r="S91" s="515"/>
      <c r="T91" s="515"/>
      <c r="U91" s="515"/>
      <c r="V91" s="515"/>
      <c r="W91" s="515"/>
      <c r="X91" s="515"/>
      <c r="Y91" s="515"/>
    </row>
    <row r="92" spans="1:25" ht="15.75" customHeight="1">
      <c r="A92" s="526"/>
      <c r="B92" s="698"/>
      <c r="C92" s="527" t="s">
        <v>71</v>
      </c>
      <c r="D92" s="550"/>
      <c r="E92" s="530"/>
      <c r="F92" s="530"/>
      <c r="G92" s="530"/>
      <c r="H92" s="530"/>
      <c r="I92" s="513"/>
      <c r="J92" s="514"/>
      <c r="K92" s="514"/>
      <c r="L92" s="514"/>
      <c r="M92" s="514"/>
      <c r="N92" s="514"/>
      <c r="O92" s="514"/>
      <c r="P92" s="514"/>
      <c r="Q92" s="514"/>
      <c r="R92" s="515"/>
      <c r="S92" s="515"/>
      <c r="T92" s="515"/>
      <c r="U92" s="515"/>
      <c r="V92" s="515"/>
      <c r="W92" s="515"/>
      <c r="X92" s="515"/>
      <c r="Y92" s="515"/>
    </row>
    <row r="93" spans="1:25" ht="15.75" customHeight="1">
      <c r="A93" s="526"/>
      <c r="B93" s="698"/>
      <c r="C93" s="537" t="s">
        <v>40</v>
      </c>
      <c r="D93" s="550"/>
      <c r="E93" s="530"/>
      <c r="F93" s="530"/>
      <c r="G93" s="530"/>
      <c r="H93" s="530"/>
      <c r="I93" s="513"/>
      <c r="J93" s="514"/>
      <c r="K93" s="514"/>
      <c r="L93" s="514"/>
      <c r="M93" s="514"/>
      <c r="N93" s="514"/>
      <c r="O93" s="514"/>
      <c r="P93" s="514"/>
      <c r="Q93" s="514"/>
      <c r="R93" s="515"/>
      <c r="S93" s="515"/>
      <c r="T93" s="515"/>
      <c r="U93" s="515"/>
      <c r="V93" s="515"/>
      <c r="W93" s="515"/>
      <c r="X93" s="515"/>
      <c r="Y93" s="515"/>
    </row>
    <row r="94" spans="1:25" ht="15.75" customHeight="1">
      <c r="A94" s="526"/>
      <c r="B94" s="698"/>
      <c r="C94" s="527" t="s">
        <v>72</v>
      </c>
      <c r="D94" s="550"/>
      <c r="E94" s="530"/>
      <c r="F94" s="530"/>
      <c r="G94" s="530"/>
      <c r="H94" s="530"/>
      <c r="I94" s="513"/>
      <c r="J94" s="514"/>
      <c r="K94" s="514"/>
      <c r="L94" s="514"/>
      <c r="M94" s="514"/>
      <c r="N94" s="514"/>
      <c r="O94" s="514"/>
      <c r="P94" s="514"/>
      <c r="Q94" s="514"/>
      <c r="R94" s="515"/>
      <c r="S94" s="515"/>
      <c r="T94" s="515"/>
      <c r="U94" s="515"/>
      <c r="V94" s="515"/>
      <c r="W94" s="515"/>
      <c r="X94" s="515"/>
      <c r="Y94" s="515"/>
    </row>
    <row r="95" spans="1:25" ht="15.75" customHeight="1">
      <c r="A95" s="526"/>
      <c r="B95" s="698"/>
      <c r="C95" s="553" t="s">
        <v>47</v>
      </c>
      <c r="D95" s="550"/>
      <c r="E95" s="530"/>
      <c r="F95" s="530"/>
      <c r="G95" s="530"/>
      <c r="H95" s="530"/>
      <c r="I95" s="513"/>
      <c r="J95" s="514"/>
      <c r="K95" s="514"/>
      <c r="L95" s="514"/>
      <c r="M95" s="514"/>
      <c r="N95" s="514"/>
      <c r="O95" s="514"/>
      <c r="P95" s="514"/>
      <c r="Q95" s="514"/>
      <c r="R95" s="515"/>
      <c r="S95" s="515"/>
      <c r="T95" s="515"/>
      <c r="U95" s="515"/>
      <c r="V95" s="515"/>
      <c r="W95" s="515"/>
      <c r="X95" s="515"/>
      <c r="Y95" s="515"/>
    </row>
    <row r="96" spans="1:25" ht="15.75" customHeight="1">
      <c r="A96" s="526"/>
      <c r="B96" s="699"/>
      <c r="C96" s="494" t="s">
        <v>73</v>
      </c>
      <c r="D96" s="551"/>
      <c r="E96" s="535"/>
      <c r="F96" s="535"/>
      <c r="G96" s="535"/>
      <c r="H96" s="535"/>
      <c r="I96" s="513"/>
      <c r="J96" s="514"/>
      <c r="K96" s="514"/>
      <c r="L96" s="514"/>
      <c r="M96" s="514"/>
      <c r="N96" s="514"/>
      <c r="O96" s="514"/>
      <c r="P96" s="514"/>
      <c r="Q96" s="514"/>
      <c r="R96" s="515"/>
      <c r="S96" s="515"/>
      <c r="T96" s="515"/>
      <c r="U96" s="515"/>
      <c r="V96" s="515"/>
      <c r="W96" s="515"/>
      <c r="X96" s="515"/>
      <c r="Y96" s="515"/>
    </row>
    <row r="97" spans="1:25" ht="15.75" customHeight="1">
      <c r="A97" s="526"/>
      <c r="B97" s="700" t="s">
        <v>74</v>
      </c>
      <c r="C97" s="537" t="s">
        <v>26</v>
      </c>
      <c r="D97" s="552"/>
      <c r="E97" s="539"/>
      <c r="F97" s="539" t="s">
        <v>75</v>
      </c>
      <c r="G97" s="539"/>
      <c r="H97" s="539"/>
      <c r="I97" s="513"/>
      <c r="J97" s="514"/>
      <c r="K97" s="514"/>
      <c r="L97" s="514"/>
      <c r="M97" s="514"/>
      <c r="N97" s="514"/>
      <c r="O97" s="514"/>
      <c r="P97" s="514"/>
      <c r="Q97" s="514"/>
      <c r="R97" s="515"/>
      <c r="S97" s="515"/>
      <c r="T97" s="515"/>
      <c r="U97" s="515"/>
      <c r="V97" s="515"/>
      <c r="W97" s="515"/>
      <c r="X97" s="515"/>
      <c r="Y97" s="515"/>
    </row>
    <row r="98" spans="1:25" ht="50" customHeight="1">
      <c r="A98" s="526"/>
      <c r="B98" s="698"/>
      <c r="C98" s="527" t="s">
        <v>76</v>
      </c>
      <c r="D98" s="550"/>
      <c r="E98" s="530"/>
      <c r="F98" s="530"/>
      <c r="G98" s="530"/>
      <c r="H98" s="530"/>
      <c r="I98" s="513"/>
      <c r="J98" s="514"/>
      <c r="K98" s="514"/>
      <c r="L98" s="514"/>
      <c r="M98" s="514"/>
      <c r="N98" s="514"/>
      <c r="O98" s="514"/>
      <c r="P98" s="514"/>
      <c r="Q98" s="514"/>
      <c r="R98" s="515"/>
      <c r="S98" s="515"/>
      <c r="T98" s="515"/>
      <c r="U98" s="515"/>
      <c r="V98" s="515"/>
      <c r="W98" s="515"/>
      <c r="X98" s="515"/>
      <c r="Y98" s="515"/>
    </row>
    <row r="99" spans="1:25" ht="15.75" customHeight="1">
      <c r="A99" s="526"/>
      <c r="B99" s="698"/>
      <c r="C99" s="537" t="s">
        <v>57</v>
      </c>
      <c r="D99" s="550"/>
      <c r="E99" s="530"/>
      <c r="F99" s="530"/>
      <c r="G99" s="530"/>
      <c r="H99" s="530"/>
      <c r="I99" s="513"/>
      <c r="J99" s="514"/>
      <c r="K99" s="514"/>
      <c r="L99" s="514"/>
      <c r="M99" s="514"/>
      <c r="N99" s="514"/>
      <c r="O99" s="514"/>
      <c r="P99" s="514"/>
      <c r="Q99" s="514"/>
      <c r="R99" s="515"/>
      <c r="S99" s="515"/>
      <c r="T99" s="515"/>
      <c r="U99" s="515"/>
      <c r="V99" s="515"/>
      <c r="W99" s="515"/>
      <c r="X99" s="515"/>
      <c r="Y99" s="515"/>
    </row>
    <row r="100" spans="1:25" ht="15.75" customHeight="1">
      <c r="A100" s="526"/>
      <c r="B100" s="698"/>
      <c r="C100" s="527" t="s">
        <v>77</v>
      </c>
      <c r="D100" s="550"/>
      <c r="E100" s="530"/>
      <c r="F100" s="530"/>
      <c r="G100" s="530"/>
      <c r="H100" s="530"/>
      <c r="I100" s="513"/>
      <c r="J100" s="514"/>
      <c r="K100" s="514"/>
      <c r="L100" s="514"/>
      <c r="M100" s="514"/>
      <c r="N100" s="514"/>
      <c r="O100" s="514"/>
      <c r="P100" s="514"/>
      <c r="Q100" s="514"/>
      <c r="R100" s="515"/>
      <c r="S100" s="515"/>
      <c r="T100" s="515"/>
      <c r="U100" s="515"/>
      <c r="V100" s="515"/>
      <c r="W100" s="515"/>
      <c r="X100" s="515"/>
      <c r="Y100" s="515"/>
    </row>
    <row r="101" spans="1:25" ht="15.75" customHeight="1">
      <c r="A101" s="526"/>
      <c r="B101" s="698"/>
      <c r="C101" s="537" t="s">
        <v>36</v>
      </c>
      <c r="D101" s="550"/>
      <c r="E101" s="530"/>
      <c r="F101" s="530"/>
      <c r="G101" s="530"/>
      <c r="H101" s="530"/>
      <c r="I101" s="513"/>
      <c r="J101" s="514"/>
      <c r="K101" s="514"/>
      <c r="L101" s="514"/>
      <c r="M101" s="514"/>
      <c r="N101" s="514"/>
      <c r="O101" s="514"/>
      <c r="P101" s="514"/>
      <c r="Q101" s="514"/>
      <c r="R101" s="515"/>
      <c r="S101" s="515"/>
      <c r="T101" s="515"/>
      <c r="U101" s="515"/>
      <c r="V101" s="515"/>
      <c r="W101" s="515"/>
      <c r="X101" s="515"/>
      <c r="Y101" s="515"/>
    </row>
    <row r="102" spans="1:25" ht="15.75" customHeight="1">
      <c r="A102" s="526"/>
      <c r="B102" s="698"/>
      <c r="C102" s="527" t="s">
        <v>78</v>
      </c>
      <c r="D102" s="550"/>
      <c r="E102" s="530"/>
      <c r="F102" s="530"/>
      <c r="G102" s="530"/>
      <c r="H102" s="530"/>
      <c r="I102" s="513"/>
      <c r="J102" s="514"/>
      <c r="K102" s="514"/>
      <c r="L102" s="514"/>
      <c r="M102" s="514"/>
      <c r="N102" s="514"/>
      <c r="O102" s="514"/>
      <c r="P102" s="514"/>
      <c r="Q102" s="514"/>
      <c r="R102" s="515"/>
      <c r="S102" s="515"/>
      <c r="T102" s="515"/>
      <c r="U102" s="515"/>
      <c r="V102" s="515"/>
      <c r="W102" s="515"/>
      <c r="X102" s="515"/>
      <c r="Y102" s="515"/>
    </row>
    <row r="103" spans="1:25" ht="15.75" customHeight="1">
      <c r="A103" s="526"/>
      <c r="B103" s="698"/>
      <c r="C103" s="537" t="s">
        <v>38</v>
      </c>
      <c r="D103" s="550"/>
      <c r="E103" s="530"/>
      <c r="F103" s="530"/>
      <c r="G103" s="530"/>
      <c r="H103" s="530"/>
      <c r="I103" s="513"/>
      <c r="J103" s="514"/>
      <c r="K103" s="514"/>
      <c r="L103" s="514"/>
      <c r="M103" s="514"/>
      <c r="N103" s="514"/>
      <c r="O103" s="514"/>
      <c r="P103" s="514"/>
      <c r="Q103" s="514"/>
      <c r="R103" s="515"/>
      <c r="S103" s="515"/>
      <c r="T103" s="515"/>
      <c r="U103" s="515"/>
      <c r="V103" s="515"/>
      <c r="W103" s="515"/>
      <c r="X103" s="515"/>
      <c r="Y103" s="515"/>
    </row>
    <row r="104" spans="1:25" ht="15.75" customHeight="1">
      <c r="A104" s="526"/>
      <c r="B104" s="698"/>
      <c r="C104" s="527" t="s">
        <v>71</v>
      </c>
      <c r="D104" s="550"/>
      <c r="E104" s="530"/>
      <c r="F104" s="530"/>
      <c r="G104" s="530"/>
      <c r="H104" s="530"/>
      <c r="I104" s="513"/>
      <c r="J104" s="514"/>
      <c r="K104" s="514"/>
      <c r="L104" s="514"/>
      <c r="M104" s="514"/>
      <c r="N104" s="514"/>
      <c r="O104" s="514"/>
      <c r="P104" s="514"/>
      <c r="Q104" s="514"/>
      <c r="R104" s="515"/>
      <c r="S104" s="515"/>
      <c r="T104" s="515"/>
      <c r="U104" s="515"/>
      <c r="V104" s="515"/>
      <c r="W104" s="515"/>
      <c r="X104" s="515"/>
      <c r="Y104" s="515"/>
    </row>
    <row r="105" spans="1:25" ht="15.75" customHeight="1">
      <c r="A105" s="526"/>
      <c r="B105" s="698"/>
      <c r="C105" s="537" t="s">
        <v>40</v>
      </c>
      <c r="D105" s="550"/>
      <c r="E105" s="530"/>
      <c r="F105" s="530"/>
      <c r="G105" s="530"/>
      <c r="H105" s="530"/>
      <c r="I105" s="513"/>
      <c r="J105" s="514"/>
      <c r="K105" s="514"/>
      <c r="L105" s="514"/>
      <c r="M105" s="514"/>
      <c r="N105" s="514"/>
      <c r="O105" s="514"/>
      <c r="P105" s="514"/>
      <c r="Q105" s="514"/>
      <c r="R105" s="515"/>
      <c r="S105" s="515"/>
      <c r="T105" s="515"/>
      <c r="U105" s="515"/>
      <c r="V105" s="515"/>
      <c r="W105" s="515"/>
      <c r="X105" s="515"/>
      <c r="Y105" s="515"/>
    </row>
    <row r="106" spans="1:25" ht="15.75" customHeight="1">
      <c r="A106" s="526"/>
      <c r="B106" s="698"/>
      <c r="C106" s="527" t="s">
        <v>72</v>
      </c>
      <c r="D106" s="550"/>
      <c r="E106" s="530"/>
      <c r="F106" s="530"/>
      <c r="G106" s="530"/>
      <c r="H106" s="530"/>
      <c r="I106" s="513"/>
      <c r="J106" s="514"/>
      <c r="K106" s="514"/>
      <c r="L106" s="514"/>
      <c r="M106" s="514"/>
      <c r="N106" s="514"/>
      <c r="O106" s="514"/>
      <c r="P106" s="514"/>
      <c r="Q106" s="514"/>
      <c r="R106" s="515"/>
      <c r="S106" s="515"/>
      <c r="T106" s="515"/>
      <c r="U106" s="515"/>
      <c r="V106" s="515"/>
      <c r="W106" s="515"/>
      <c r="X106" s="515"/>
      <c r="Y106" s="515"/>
    </row>
    <row r="107" spans="1:25" ht="15.75" customHeight="1">
      <c r="A107" s="526"/>
      <c r="B107" s="698"/>
      <c r="C107" s="553" t="s">
        <v>47</v>
      </c>
      <c r="D107" s="550"/>
      <c r="E107" s="530"/>
      <c r="F107" s="530"/>
      <c r="G107" s="530"/>
      <c r="H107" s="530"/>
      <c r="I107" s="513"/>
      <c r="J107" s="514"/>
      <c r="K107" s="514"/>
      <c r="L107" s="514"/>
      <c r="M107" s="514"/>
      <c r="N107" s="514"/>
      <c r="O107" s="514"/>
      <c r="P107" s="514"/>
      <c r="Q107" s="514"/>
      <c r="R107" s="515"/>
      <c r="S107" s="515"/>
      <c r="T107" s="515"/>
      <c r="U107" s="515"/>
      <c r="V107" s="515"/>
      <c r="W107" s="515"/>
      <c r="X107" s="515"/>
      <c r="Y107" s="515"/>
    </row>
    <row r="108" spans="1:25" ht="15.75" customHeight="1">
      <c r="A108" s="526"/>
      <c r="B108" s="699"/>
      <c r="C108" s="494" t="s">
        <v>73</v>
      </c>
      <c r="D108" s="551"/>
      <c r="E108" s="535"/>
      <c r="F108" s="535"/>
      <c r="G108" s="535"/>
      <c r="H108" s="535"/>
      <c r="I108" s="513"/>
      <c r="J108" s="514"/>
      <c r="K108" s="514"/>
      <c r="L108" s="514"/>
      <c r="M108" s="514"/>
      <c r="N108" s="514"/>
      <c r="O108" s="514"/>
      <c r="P108" s="514"/>
      <c r="Q108" s="514"/>
      <c r="R108" s="515"/>
      <c r="S108" s="515"/>
      <c r="T108" s="515"/>
      <c r="U108" s="515"/>
      <c r="V108" s="515"/>
      <c r="W108" s="515"/>
      <c r="X108" s="515"/>
      <c r="Y108" s="515"/>
    </row>
    <row r="109" spans="1:25" ht="15.75" customHeight="1">
      <c r="A109" s="526"/>
      <c r="B109" s="527" t="s">
        <v>79</v>
      </c>
      <c r="C109" s="537" t="s">
        <v>1573</v>
      </c>
      <c r="D109" s="550"/>
      <c r="E109" s="541">
        <v>10</v>
      </c>
      <c r="F109" s="530" t="s">
        <v>55</v>
      </c>
      <c r="G109" s="530"/>
      <c r="H109" s="530"/>
      <c r="I109" s="513"/>
      <c r="J109" s="514"/>
      <c r="K109" s="514"/>
      <c r="L109" s="514"/>
      <c r="M109" s="514"/>
      <c r="N109" s="514"/>
      <c r="O109" s="514"/>
      <c r="P109" s="514"/>
      <c r="Q109" s="514"/>
      <c r="R109" s="515"/>
      <c r="S109" s="515"/>
      <c r="T109" s="515"/>
      <c r="U109" s="515"/>
      <c r="V109" s="515"/>
      <c r="W109" s="515"/>
      <c r="X109" s="515"/>
      <c r="Y109" s="515"/>
    </row>
    <row r="110" spans="1:25" ht="26.75" customHeight="1">
      <c r="A110" s="526"/>
      <c r="B110" s="527"/>
      <c r="C110" s="527" t="s">
        <v>80</v>
      </c>
      <c r="D110" s="550"/>
      <c r="E110" s="530"/>
      <c r="F110" s="530"/>
      <c r="G110" s="530"/>
      <c r="H110" s="530"/>
      <c r="I110" s="513"/>
      <c r="J110" s="514"/>
      <c r="K110" s="514"/>
      <c r="L110" s="514"/>
      <c r="M110" s="514"/>
      <c r="N110" s="514"/>
      <c r="O110" s="514"/>
      <c r="P110" s="514"/>
      <c r="Q110" s="514"/>
      <c r="R110" s="515"/>
      <c r="S110" s="515"/>
      <c r="T110" s="515"/>
      <c r="U110" s="515"/>
      <c r="V110" s="515"/>
      <c r="W110" s="515"/>
      <c r="X110" s="515"/>
      <c r="Y110" s="515"/>
    </row>
    <row r="111" spans="1:25" ht="15.75" customHeight="1">
      <c r="A111" s="526"/>
      <c r="B111" s="527"/>
      <c r="C111" s="537" t="s">
        <v>36</v>
      </c>
      <c r="D111" s="550"/>
      <c r="E111" s="530"/>
      <c r="F111" s="530"/>
      <c r="G111" s="530"/>
      <c r="H111" s="530"/>
      <c r="I111" s="513"/>
      <c r="J111" s="514"/>
      <c r="K111" s="514"/>
      <c r="L111" s="514"/>
      <c r="M111" s="514"/>
      <c r="N111" s="514"/>
      <c r="O111" s="514"/>
      <c r="P111" s="514"/>
      <c r="Q111" s="514"/>
      <c r="R111" s="515"/>
      <c r="S111" s="515"/>
      <c r="T111" s="515"/>
      <c r="U111" s="515"/>
      <c r="V111" s="515"/>
      <c r="W111" s="515"/>
      <c r="X111" s="515"/>
      <c r="Y111" s="515"/>
    </row>
    <row r="112" spans="1:25" ht="15.75" customHeight="1">
      <c r="A112" s="526"/>
      <c r="B112" s="527"/>
      <c r="C112" s="527" t="s">
        <v>81</v>
      </c>
      <c r="D112" s="550"/>
      <c r="E112" s="530"/>
      <c r="F112" s="530"/>
      <c r="G112" s="530"/>
      <c r="H112" s="530"/>
      <c r="I112" s="513"/>
      <c r="J112" s="514"/>
      <c r="K112" s="514"/>
      <c r="L112" s="514"/>
      <c r="M112" s="514"/>
      <c r="N112" s="514"/>
      <c r="O112" s="514"/>
      <c r="P112" s="514"/>
      <c r="Q112" s="514"/>
      <c r="R112" s="515"/>
      <c r="S112" s="515"/>
      <c r="T112" s="515"/>
      <c r="U112" s="515"/>
      <c r="V112" s="515"/>
      <c r="W112" s="515"/>
      <c r="X112" s="515"/>
      <c r="Y112" s="515"/>
    </row>
    <row r="113" spans="1:25" ht="15.75" customHeight="1">
      <c r="A113" s="526"/>
      <c r="B113" s="527"/>
      <c r="C113" s="553" t="s">
        <v>47</v>
      </c>
      <c r="D113" s="550"/>
      <c r="E113" s="530"/>
      <c r="F113" s="530"/>
      <c r="G113" s="530"/>
      <c r="H113" s="530"/>
      <c r="I113" s="513"/>
      <c r="J113" s="514"/>
      <c r="K113" s="514"/>
      <c r="L113" s="514"/>
      <c r="M113" s="514"/>
      <c r="N113" s="514"/>
      <c r="O113" s="514"/>
      <c r="P113" s="514"/>
      <c r="Q113" s="514"/>
      <c r="R113" s="515"/>
      <c r="S113" s="515"/>
      <c r="T113" s="515"/>
      <c r="U113" s="515"/>
      <c r="V113" s="515"/>
      <c r="W113" s="515"/>
      <c r="X113" s="515"/>
      <c r="Y113" s="515"/>
    </row>
    <row r="114" spans="1:25" ht="15.75" customHeight="1">
      <c r="A114" s="526"/>
      <c r="B114" s="527"/>
      <c r="C114" s="495" t="s">
        <v>82</v>
      </c>
      <c r="D114" s="550"/>
      <c r="E114" s="530"/>
      <c r="F114" s="530"/>
      <c r="G114" s="530"/>
      <c r="H114" s="530"/>
      <c r="I114" s="513"/>
      <c r="J114" s="514"/>
      <c r="K114" s="514"/>
      <c r="L114" s="514"/>
      <c r="M114" s="514"/>
      <c r="N114" s="514"/>
      <c r="O114" s="514"/>
      <c r="P114" s="514"/>
      <c r="Q114" s="514"/>
      <c r="R114" s="515"/>
      <c r="S114" s="515"/>
      <c r="T114" s="515"/>
      <c r="U114" s="515"/>
      <c r="V114" s="515"/>
      <c r="W114" s="515"/>
      <c r="X114" s="515"/>
      <c r="Y114" s="515"/>
    </row>
    <row r="115" spans="1:25" ht="15.75" customHeight="1">
      <c r="A115" s="526"/>
      <c r="B115" s="527"/>
      <c r="C115" s="527" t="s">
        <v>83</v>
      </c>
      <c r="D115" s="550"/>
      <c r="E115" s="530"/>
      <c r="F115" s="530"/>
      <c r="G115" s="530"/>
      <c r="H115" s="530"/>
      <c r="I115" s="513"/>
      <c r="J115" s="514"/>
      <c r="K115" s="514"/>
      <c r="L115" s="514"/>
      <c r="M115" s="514"/>
      <c r="N115" s="514"/>
      <c r="O115" s="514"/>
      <c r="P115" s="514"/>
      <c r="Q115" s="514"/>
      <c r="R115" s="515"/>
      <c r="S115" s="515"/>
      <c r="T115" s="515"/>
      <c r="U115" s="515"/>
      <c r="V115" s="515"/>
      <c r="W115" s="515"/>
      <c r="X115" s="515"/>
      <c r="Y115" s="515"/>
    </row>
    <row r="116" spans="1:25" ht="15.75" customHeight="1">
      <c r="A116" s="526"/>
      <c r="B116" s="533"/>
      <c r="C116" s="494" t="s">
        <v>84</v>
      </c>
      <c r="D116" s="551"/>
      <c r="E116" s="535"/>
      <c r="F116" s="535"/>
      <c r="G116" s="535"/>
      <c r="H116" s="535"/>
      <c r="I116" s="513"/>
      <c r="J116" s="514"/>
      <c r="K116" s="514"/>
      <c r="L116" s="514"/>
      <c r="M116" s="514"/>
      <c r="N116" s="514"/>
      <c r="O116" s="514"/>
      <c r="P116" s="514"/>
      <c r="Q116" s="514"/>
      <c r="R116" s="515"/>
      <c r="S116" s="515"/>
      <c r="T116" s="515"/>
      <c r="U116" s="515"/>
      <c r="V116" s="515"/>
      <c r="W116" s="515"/>
      <c r="X116" s="515"/>
      <c r="Y116" s="515"/>
    </row>
    <row r="117" spans="1:25" ht="15.75" customHeight="1">
      <c r="A117" s="526"/>
      <c r="B117" s="700" t="s">
        <v>85</v>
      </c>
      <c r="C117" s="537" t="s">
        <v>1570</v>
      </c>
      <c r="D117" s="552"/>
      <c r="E117" s="539" t="s">
        <v>75</v>
      </c>
      <c r="F117" s="539" t="s">
        <v>86</v>
      </c>
      <c r="G117" s="539"/>
      <c r="H117" s="539"/>
      <c r="I117" s="513"/>
      <c r="J117" s="514"/>
      <c r="K117" s="514"/>
      <c r="L117" s="514"/>
      <c r="M117" s="514"/>
      <c r="N117" s="514"/>
      <c r="O117" s="514"/>
      <c r="P117" s="514"/>
      <c r="Q117" s="514"/>
      <c r="R117" s="515"/>
      <c r="S117" s="515"/>
      <c r="T117" s="515"/>
      <c r="U117" s="515"/>
      <c r="V117" s="515"/>
      <c r="W117" s="515"/>
      <c r="X117" s="515"/>
      <c r="Y117" s="515"/>
    </row>
    <row r="118" spans="1:25" ht="73.25" customHeight="1">
      <c r="A118" s="526"/>
      <c r="B118" s="698"/>
      <c r="C118" s="527" t="s">
        <v>87</v>
      </c>
      <c r="D118" s="550"/>
      <c r="E118" s="530"/>
      <c r="F118" s="530"/>
      <c r="G118" s="530"/>
      <c r="H118" s="530"/>
      <c r="I118" s="513"/>
      <c r="J118" s="514"/>
      <c r="K118" s="514"/>
      <c r="L118" s="514"/>
      <c r="M118" s="514"/>
      <c r="N118" s="514"/>
      <c r="O118" s="514"/>
      <c r="P118" s="514"/>
      <c r="Q118" s="514"/>
      <c r="R118" s="515"/>
      <c r="S118" s="515"/>
      <c r="T118" s="515"/>
      <c r="U118" s="515"/>
      <c r="V118" s="515"/>
      <c r="W118" s="515"/>
      <c r="X118" s="515"/>
      <c r="Y118" s="515"/>
    </row>
    <row r="119" spans="1:25" ht="15.75" customHeight="1">
      <c r="A119" s="526"/>
      <c r="B119" s="698"/>
      <c r="C119" s="537" t="s">
        <v>36</v>
      </c>
      <c r="D119" s="550"/>
      <c r="E119" s="530"/>
      <c r="F119" s="530"/>
      <c r="G119" s="530"/>
      <c r="H119" s="530"/>
      <c r="I119" s="513"/>
      <c r="J119" s="514"/>
      <c r="K119" s="514"/>
      <c r="L119" s="514"/>
      <c r="M119" s="514"/>
      <c r="N119" s="514"/>
      <c r="O119" s="514"/>
      <c r="P119" s="514"/>
      <c r="Q119" s="514"/>
      <c r="R119" s="515"/>
      <c r="S119" s="515"/>
      <c r="T119" s="515"/>
      <c r="U119" s="515"/>
      <c r="V119" s="515"/>
      <c r="W119" s="515"/>
      <c r="X119" s="515"/>
      <c r="Y119" s="515"/>
    </row>
    <row r="120" spans="1:25" ht="15.75" customHeight="1">
      <c r="A120" s="526"/>
      <c r="B120" s="698"/>
      <c r="C120" s="527" t="s">
        <v>88</v>
      </c>
      <c r="D120" s="550"/>
      <c r="E120" s="530"/>
      <c r="F120" s="530"/>
      <c r="G120" s="530"/>
      <c r="H120" s="530"/>
      <c r="I120" s="513"/>
      <c r="J120" s="514"/>
      <c r="K120" s="514"/>
      <c r="L120" s="514"/>
      <c r="M120" s="514"/>
      <c r="N120" s="514"/>
      <c r="O120" s="514"/>
      <c r="P120" s="514"/>
      <c r="Q120" s="514"/>
      <c r="R120" s="515"/>
      <c r="S120" s="515"/>
      <c r="T120" s="515"/>
      <c r="U120" s="515"/>
      <c r="V120" s="515"/>
      <c r="W120" s="515"/>
      <c r="X120" s="515"/>
      <c r="Y120" s="515"/>
    </row>
    <row r="121" spans="1:25" ht="15.75" customHeight="1">
      <c r="A121" s="526"/>
      <c r="B121" s="698"/>
      <c r="C121" s="537" t="s">
        <v>57</v>
      </c>
      <c r="D121" s="550"/>
      <c r="E121" s="530"/>
      <c r="F121" s="530"/>
      <c r="G121" s="530"/>
      <c r="H121" s="530"/>
      <c r="I121" s="513"/>
      <c r="J121" s="514"/>
      <c r="K121" s="514"/>
      <c r="L121" s="514"/>
      <c r="M121" s="514"/>
      <c r="N121" s="514"/>
      <c r="O121" s="514"/>
      <c r="P121" s="514"/>
      <c r="Q121" s="514"/>
      <c r="R121" s="515"/>
      <c r="S121" s="515"/>
      <c r="T121" s="515"/>
      <c r="U121" s="515"/>
      <c r="V121" s="515"/>
      <c r="W121" s="515"/>
      <c r="X121" s="515"/>
      <c r="Y121" s="515"/>
    </row>
    <row r="122" spans="1:25" ht="15.75" customHeight="1">
      <c r="A122" s="526"/>
      <c r="B122" s="698"/>
      <c r="C122" s="527" t="s">
        <v>89</v>
      </c>
      <c r="D122" s="550"/>
      <c r="E122" s="530"/>
      <c r="F122" s="530"/>
      <c r="G122" s="530"/>
      <c r="H122" s="530"/>
      <c r="I122" s="513"/>
      <c r="J122" s="514"/>
      <c r="K122" s="514"/>
      <c r="L122" s="514"/>
      <c r="M122" s="514"/>
      <c r="N122" s="514"/>
      <c r="O122" s="514"/>
      <c r="P122" s="514"/>
      <c r="Q122" s="514"/>
      <c r="R122" s="515"/>
      <c r="S122" s="515"/>
      <c r="T122" s="515"/>
      <c r="U122" s="515"/>
      <c r="V122" s="515"/>
      <c r="W122" s="515"/>
      <c r="X122" s="515"/>
      <c r="Y122" s="515"/>
    </row>
    <row r="123" spans="1:25" ht="15.75" customHeight="1">
      <c r="A123" s="526"/>
      <c r="B123" s="698"/>
      <c r="C123" s="537" t="s">
        <v>38</v>
      </c>
      <c r="D123" s="550"/>
      <c r="E123" s="530"/>
      <c r="F123" s="530"/>
      <c r="G123" s="530"/>
      <c r="H123" s="530"/>
      <c r="I123" s="513"/>
      <c r="J123" s="514"/>
      <c r="K123" s="514"/>
      <c r="L123" s="514"/>
      <c r="M123" s="514"/>
      <c r="N123" s="514"/>
      <c r="O123" s="514"/>
      <c r="P123" s="514"/>
      <c r="Q123" s="514"/>
      <c r="R123" s="515"/>
      <c r="S123" s="515"/>
      <c r="T123" s="515"/>
      <c r="U123" s="515"/>
      <c r="V123" s="515"/>
      <c r="W123" s="515"/>
      <c r="X123" s="515"/>
      <c r="Y123" s="515"/>
    </row>
    <row r="124" spans="1:25" ht="15.75" customHeight="1">
      <c r="A124" s="526"/>
      <c r="B124" s="699"/>
      <c r="C124" s="533" t="s">
        <v>90</v>
      </c>
      <c r="D124" s="551"/>
      <c r="E124" s="535"/>
      <c r="F124" s="535"/>
      <c r="G124" s="535"/>
      <c r="H124" s="535"/>
      <c r="I124" s="513"/>
      <c r="J124" s="514"/>
      <c r="K124" s="514"/>
      <c r="L124" s="514"/>
      <c r="M124" s="514"/>
      <c r="N124" s="514"/>
      <c r="O124" s="514"/>
      <c r="P124" s="514"/>
      <c r="Q124" s="514"/>
      <c r="R124" s="515"/>
      <c r="S124" s="515"/>
      <c r="T124" s="515"/>
      <c r="U124" s="515"/>
      <c r="V124" s="515"/>
      <c r="W124" s="515"/>
      <c r="X124" s="515"/>
      <c r="Y124" s="515"/>
    </row>
    <row r="125" spans="1:25" ht="15.75" customHeight="1">
      <c r="A125" s="526"/>
      <c r="B125" s="700" t="s">
        <v>91</v>
      </c>
      <c r="C125" s="537" t="s">
        <v>1570</v>
      </c>
      <c r="D125" s="552"/>
      <c r="E125" s="540">
        <v>10</v>
      </c>
      <c r="F125" s="539" t="s">
        <v>55</v>
      </c>
      <c r="G125" s="539"/>
      <c r="H125" s="539"/>
      <c r="I125" s="513"/>
      <c r="J125" s="514"/>
      <c r="K125" s="514"/>
      <c r="L125" s="514"/>
      <c r="M125" s="514"/>
      <c r="N125" s="514"/>
      <c r="O125" s="514"/>
      <c r="P125" s="514"/>
      <c r="Q125" s="514"/>
      <c r="R125" s="515"/>
      <c r="S125" s="515"/>
      <c r="T125" s="515"/>
      <c r="U125" s="515"/>
      <c r="V125" s="515"/>
      <c r="W125" s="515"/>
      <c r="X125" s="515"/>
      <c r="Y125" s="515"/>
    </row>
    <row r="126" spans="1:25" ht="26.75" customHeight="1">
      <c r="A126" s="526"/>
      <c r="B126" s="698"/>
      <c r="C126" s="527" t="s">
        <v>92</v>
      </c>
      <c r="D126" s="550"/>
      <c r="E126" s="530"/>
      <c r="F126" s="530"/>
      <c r="G126" s="530"/>
      <c r="H126" s="530"/>
      <c r="I126" s="513"/>
      <c r="J126" s="514"/>
      <c r="K126" s="514"/>
      <c r="L126" s="514"/>
      <c r="M126" s="514"/>
      <c r="N126" s="514"/>
      <c r="O126" s="514"/>
      <c r="P126" s="514"/>
      <c r="Q126" s="514"/>
      <c r="R126" s="515"/>
      <c r="S126" s="515"/>
      <c r="T126" s="515"/>
      <c r="U126" s="515"/>
      <c r="V126" s="515"/>
      <c r="W126" s="515"/>
      <c r="X126" s="515"/>
      <c r="Y126" s="515"/>
    </row>
    <row r="127" spans="1:25" ht="15.75" customHeight="1">
      <c r="A127" s="526"/>
      <c r="B127" s="698"/>
      <c r="C127" s="537" t="s">
        <v>57</v>
      </c>
      <c r="D127" s="550"/>
      <c r="E127" s="530"/>
      <c r="F127" s="530"/>
      <c r="G127" s="530"/>
      <c r="H127" s="530"/>
      <c r="I127" s="513"/>
      <c r="J127" s="514"/>
      <c r="K127" s="514"/>
      <c r="L127" s="514"/>
      <c r="M127" s="514"/>
      <c r="N127" s="514"/>
      <c r="O127" s="514"/>
      <c r="P127" s="514"/>
      <c r="Q127" s="514"/>
      <c r="R127" s="515"/>
      <c r="S127" s="515"/>
      <c r="T127" s="515"/>
      <c r="U127" s="515"/>
      <c r="V127" s="515"/>
      <c r="W127" s="515"/>
      <c r="X127" s="515"/>
      <c r="Y127" s="515"/>
    </row>
    <row r="128" spans="1:25" ht="26.75" customHeight="1">
      <c r="A128" s="526"/>
      <c r="B128" s="699"/>
      <c r="C128" s="533" t="s">
        <v>93</v>
      </c>
      <c r="D128" s="551"/>
      <c r="E128" s="535"/>
      <c r="F128" s="535"/>
      <c r="G128" s="535"/>
      <c r="H128" s="535"/>
      <c r="I128" s="513"/>
      <c r="J128" s="514"/>
      <c r="K128" s="514"/>
      <c r="L128" s="514"/>
      <c r="M128" s="514"/>
      <c r="N128" s="514"/>
      <c r="O128" s="514"/>
      <c r="P128" s="514"/>
      <c r="Q128" s="514"/>
      <c r="R128" s="515"/>
      <c r="S128" s="515"/>
      <c r="T128" s="515"/>
      <c r="U128" s="515"/>
      <c r="V128" s="515"/>
      <c r="W128" s="515"/>
      <c r="X128" s="515"/>
      <c r="Y128" s="515"/>
    </row>
    <row r="129" spans="1:25" ht="15.75" customHeight="1">
      <c r="A129" s="526"/>
      <c r="B129" s="700" t="s">
        <v>94</v>
      </c>
      <c r="C129" s="537" t="s">
        <v>1573</v>
      </c>
      <c r="D129" s="552"/>
      <c r="E129" s="540">
        <v>10</v>
      </c>
      <c r="F129" s="539" t="s">
        <v>55</v>
      </c>
      <c r="G129" s="539"/>
      <c r="H129" s="539"/>
      <c r="I129" s="513"/>
      <c r="J129" s="514"/>
      <c r="K129" s="514"/>
      <c r="L129" s="514"/>
      <c r="M129" s="514"/>
      <c r="N129" s="514"/>
      <c r="O129" s="514"/>
      <c r="P129" s="514"/>
      <c r="Q129" s="514"/>
      <c r="R129" s="515"/>
      <c r="S129" s="515"/>
      <c r="T129" s="515"/>
      <c r="U129" s="515"/>
      <c r="V129" s="515"/>
      <c r="W129" s="515"/>
      <c r="X129" s="515"/>
      <c r="Y129" s="515"/>
    </row>
    <row r="130" spans="1:25" ht="26.75" customHeight="1">
      <c r="A130" s="526"/>
      <c r="B130" s="698"/>
      <c r="C130" s="527" t="s">
        <v>95</v>
      </c>
      <c r="D130" s="550"/>
      <c r="E130" s="530"/>
      <c r="F130" s="530"/>
      <c r="G130" s="530"/>
      <c r="H130" s="530"/>
      <c r="I130" s="513"/>
      <c r="J130" s="514"/>
      <c r="K130" s="514"/>
      <c r="L130" s="514"/>
      <c r="M130" s="514"/>
      <c r="N130" s="514"/>
      <c r="O130" s="514"/>
      <c r="P130" s="514"/>
      <c r="Q130" s="514"/>
      <c r="R130" s="515"/>
      <c r="S130" s="515"/>
      <c r="T130" s="515"/>
      <c r="U130" s="515"/>
      <c r="V130" s="515"/>
      <c r="W130" s="515"/>
      <c r="X130" s="515"/>
      <c r="Y130" s="515"/>
    </row>
    <row r="131" spans="1:25" ht="15.75" customHeight="1">
      <c r="A131" s="526"/>
      <c r="B131" s="698"/>
      <c r="C131" s="553" t="s">
        <v>47</v>
      </c>
      <c r="D131" s="550"/>
      <c r="E131" s="530"/>
      <c r="F131" s="530"/>
      <c r="G131" s="530"/>
      <c r="H131" s="530"/>
      <c r="I131" s="513"/>
      <c r="J131" s="514"/>
      <c r="K131" s="514"/>
      <c r="L131" s="514"/>
      <c r="M131" s="514"/>
      <c r="N131" s="514"/>
      <c r="O131" s="514"/>
      <c r="P131" s="514"/>
      <c r="Q131" s="514"/>
      <c r="R131" s="515"/>
      <c r="S131" s="515"/>
      <c r="T131" s="515"/>
      <c r="U131" s="515"/>
      <c r="V131" s="515"/>
      <c r="W131" s="515"/>
      <c r="X131" s="515"/>
      <c r="Y131" s="515"/>
    </row>
    <row r="132" spans="1:25" ht="15.75" customHeight="1">
      <c r="A132" s="526"/>
      <c r="B132" s="698"/>
      <c r="C132" s="495" t="s">
        <v>96</v>
      </c>
      <c r="D132" s="550"/>
      <c r="E132" s="530"/>
      <c r="F132" s="530"/>
      <c r="G132" s="530"/>
      <c r="H132" s="530"/>
      <c r="I132" s="513"/>
      <c r="J132" s="514"/>
      <c r="K132" s="514"/>
      <c r="L132" s="514"/>
      <c r="M132" s="514"/>
      <c r="N132" s="514"/>
      <c r="O132" s="514"/>
      <c r="P132" s="514"/>
      <c r="Q132" s="514"/>
      <c r="R132" s="515"/>
      <c r="S132" s="515"/>
      <c r="T132" s="515"/>
      <c r="U132" s="515"/>
      <c r="V132" s="515"/>
      <c r="W132" s="515"/>
      <c r="X132" s="515"/>
      <c r="Y132" s="515"/>
    </row>
    <row r="133" spans="1:25" ht="15.75" customHeight="1">
      <c r="A133" s="526"/>
      <c r="B133" s="699"/>
      <c r="C133" s="494" t="s">
        <v>97</v>
      </c>
      <c r="D133" s="551"/>
      <c r="E133" s="535"/>
      <c r="F133" s="535"/>
      <c r="G133" s="535"/>
      <c r="H133" s="535"/>
      <c r="I133" s="513"/>
      <c r="J133" s="514"/>
      <c r="K133" s="514"/>
      <c r="L133" s="514"/>
      <c r="M133" s="514"/>
      <c r="N133" s="514"/>
      <c r="O133" s="514"/>
      <c r="P133" s="514"/>
      <c r="Q133" s="514"/>
      <c r="R133" s="515"/>
      <c r="S133" s="515"/>
      <c r="T133" s="515"/>
      <c r="U133" s="515"/>
      <c r="V133" s="515"/>
      <c r="W133" s="515"/>
      <c r="X133" s="515"/>
      <c r="Y133" s="515"/>
    </row>
    <row r="134" spans="1:25" ht="15.75" customHeight="1">
      <c r="A134" s="526"/>
      <c r="B134" s="536" t="s">
        <v>98</v>
      </c>
      <c r="C134" s="537" t="s">
        <v>1570</v>
      </c>
      <c r="D134" s="552"/>
      <c r="E134" s="539" t="s">
        <v>86</v>
      </c>
      <c r="F134" s="539" t="s">
        <v>99</v>
      </c>
      <c r="G134" s="539"/>
      <c r="H134" s="705"/>
      <c r="I134" s="513"/>
      <c r="J134" s="514"/>
      <c r="K134" s="514"/>
      <c r="L134" s="514"/>
      <c r="M134" s="514"/>
      <c r="N134" s="514"/>
      <c r="O134" s="514"/>
      <c r="P134" s="514"/>
      <c r="Q134" s="514"/>
      <c r="R134" s="515"/>
      <c r="S134" s="515"/>
      <c r="T134" s="515"/>
      <c r="U134" s="515"/>
      <c r="V134" s="515"/>
      <c r="W134" s="515"/>
      <c r="X134" s="515"/>
      <c r="Y134" s="515"/>
    </row>
    <row r="135" spans="1:25" ht="15.75" customHeight="1">
      <c r="A135" s="526"/>
      <c r="B135" s="527"/>
      <c r="C135" s="527" t="s">
        <v>100</v>
      </c>
      <c r="D135" s="550"/>
      <c r="E135" s="530"/>
      <c r="F135" s="530"/>
      <c r="G135" s="530"/>
      <c r="H135" s="702"/>
      <c r="I135" s="513"/>
      <c r="J135" s="514"/>
      <c r="K135" s="514"/>
      <c r="L135" s="514"/>
      <c r="M135" s="514"/>
      <c r="N135" s="514"/>
      <c r="O135" s="514"/>
      <c r="P135" s="514"/>
      <c r="Q135" s="514"/>
      <c r="R135" s="515"/>
      <c r="S135" s="515"/>
      <c r="T135" s="515"/>
      <c r="U135" s="515"/>
      <c r="V135" s="515"/>
      <c r="W135" s="515"/>
      <c r="X135" s="515"/>
      <c r="Y135" s="515"/>
    </row>
    <row r="136" spans="1:25" ht="15.75" customHeight="1">
      <c r="A136" s="526"/>
      <c r="B136" s="527"/>
      <c r="C136" s="537" t="s">
        <v>57</v>
      </c>
      <c r="D136" s="550"/>
      <c r="E136" s="530"/>
      <c r="F136" s="530"/>
      <c r="G136" s="530"/>
      <c r="H136" s="702"/>
      <c r="I136" s="513"/>
      <c r="J136" s="514"/>
      <c r="K136" s="514"/>
      <c r="L136" s="514"/>
      <c r="M136" s="514"/>
      <c r="N136" s="514"/>
      <c r="O136" s="514"/>
      <c r="P136" s="514"/>
      <c r="Q136" s="514"/>
      <c r="R136" s="515"/>
      <c r="S136" s="515"/>
      <c r="T136" s="515"/>
      <c r="U136" s="515"/>
      <c r="V136" s="515"/>
      <c r="W136" s="515"/>
      <c r="X136" s="515"/>
      <c r="Y136" s="515"/>
    </row>
    <row r="137" spans="1:25" ht="15.75" customHeight="1">
      <c r="A137" s="526"/>
      <c r="B137" s="533"/>
      <c r="C137" s="533" t="s">
        <v>101</v>
      </c>
      <c r="D137" s="551"/>
      <c r="E137" s="535"/>
      <c r="F137" s="535"/>
      <c r="G137" s="535"/>
      <c r="H137" s="703"/>
      <c r="I137" s="513"/>
      <c r="J137" s="514"/>
      <c r="K137" s="514"/>
      <c r="L137" s="514"/>
      <c r="M137" s="514"/>
      <c r="N137" s="514"/>
      <c r="O137" s="514"/>
      <c r="P137" s="514"/>
      <c r="Q137" s="514"/>
      <c r="R137" s="515"/>
      <c r="S137" s="515"/>
      <c r="T137" s="515"/>
      <c r="U137" s="515"/>
      <c r="V137" s="515"/>
      <c r="W137" s="515"/>
      <c r="X137" s="515"/>
      <c r="Y137" s="515"/>
    </row>
    <row r="138" spans="1:25" ht="15" customHeight="1">
      <c r="A138" s="526"/>
      <c r="B138" s="700" t="s">
        <v>102</v>
      </c>
      <c r="C138" s="537" t="s">
        <v>1573</v>
      </c>
      <c r="D138" s="552"/>
      <c r="E138" s="539" t="s">
        <v>75</v>
      </c>
      <c r="F138" s="539" t="s">
        <v>86</v>
      </c>
      <c r="G138" s="539"/>
      <c r="H138" s="711"/>
      <c r="I138" s="513"/>
      <c r="J138" s="514"/>
      <c r="K138" s="514"/>
      <c r="L138" s="514"/>
      <c r="M138" s="514"/>
      <c r="N138" s="514"/>
      <c r="O138" s="514"/>
      <c r="P138" s="514"/>
      <c r="Q138" s="514"/>
      <c r="R138" s="515"/>
      <c r="S138" s="515"/>
      <c r="T138" s="515"/>
      <c r="U138" s="515"/>
      <c r="V138" s="515"/>
      <c r="W138" s="515"/>
      <c r="X138" s="515"/>
      <c r="Y138" s="515"/>
    </row>
    <row r="139" spans="1:25" ht="32" customHeight="1">
      <c r="A139" s="526"/>
      <c r="B139" s="699"/>
      <c r="C139" s="533" t="s">
        <v>101</v>
      </c>
      <c r="D139" s="551"/>
      <c r="E139" s="535"/>
      <c r="F139" s="535"/>
      <c r="G139" s="535"/>
      <c r="H139" s="712"/>
      <c r="I139" s="513"/>
      <c r="J139" s="514"/>
      <c r="K139" s="514"/>
      <c r="L139" s="514"/>
      <c r="M139" s="514"/>
      <c r="N139" s="514"/>
      <c r="O139" s="514"/>
      <c r="P139" s="514"/>
      <c r="Q139" s="514"/>
      <c r="R139" s="515"/>
      <c r="S139" s="515"/>
      <c r="T139" s="515"/>
      <c r="U139" s="515"/>
      <c r="V139" s="515"/>
      <c r="W139" s="515"/>
      <c r="X139" s="515"/>
      <c r="Y139" s="515"/>
    </row>
    <row r="140" spans="1:25" ht="15.75" customHeight="1">
      <c r="A140" s="526"/>
      <c r="B140" s="527" t="s">
        <v>103</v>
      </c>
      <c r="C140" s="537" t="s">
        <v>1570</v>
      </c>
      <c r="D140" s="550"/>
      <c r="E140" s="541">
        <v>6</v>
      </c>
      <c r="F140" s="530"/>
      <c r="G140" s="530"/>
      <c r="H140" s="530"/>
      <c r="I140" s="513"/>
      <c r="J140" s="514"/>
      <c r="K140" s="514"/>
      <c r="L140" s="514"/>
      <c r="M140" s="514"/>
      <c r="N140" s="514"/>
      <c r="O140" s="514"/>
      <c r="P140" s="514"/>
      <c r="Q140" s="514"/>
      <c r="R140" s="515"/>
      <c r="S140" s="515"/>
      <c r="T140" s="515"/>
      <c r="U140" s="515"/>
      <c r="V140" s="515"/>
      <c r="W140" s="515"/>
      <c r="X140" s="515"/>
      <c r="Y140" s="515"/>
    </row>
    <row r="141" spans="1:25" ht="15.75" customHeight="1">
      <c r="A141" s="526"/>
      <c r="B141" s="527"/>
      <c r="C141" s="527" t="s">
        <v>100</v>
      </c>
      <c r="D141" s="550"/>
      <c r="E141" s="530"/>
      <c r="F141" s="530"/>
      <c r="G141" s="530"/>
      <c r="H141" s="530"/>
      <c r="I141" s="513"/>
      <c r="J141" s="514"/>
      <c r="K141" s="514"/>
      <c r="L141" s="514"/>
      <c r="M141" s="514"/>
      <c r="N141" s="514"/>
      <c r="O141" s="514"/>
      <c r="P141" s="514"/>
      <c r="Q141" s="514"/>
      <c r="R141" s="515"/>
      <c r="S141" s="515"/>
      <c r="T141" s="515"/>
      <c r="U141" s="515"/>
      <c r="V141" s="515"/>
      <c r="W141" s="515"/>
      <c r="X141" s="515"/>
      <c r="Y141" s="515"/>
    </row>
    <row r="142" spans="1:25" ht="15.75" customHeight="1">
      <c r="A142" s="526"/>
      <c r="B142" s="527"/>
      <c r="C142" s="528" t="s">
        <v>104</v>
      </c>
      <c r="D142" s="550"/>
      <c r="E142" s="530"/>
      <c r="F142" s="530"/>
      <c r="G142" s="530"/>
      <c r="H142" s="530"/>
      <c r="I142" s="513"/>
      <c r="J142" s="514"/>
      <c r="K142" s="514"/>
      <c r="L142" s="514"/>
      <c r="M142" s="514"/>
      <c r="N142" s="514"/>
      <c r="O142" s="514"/>
      <c r="P142" s="514"/>
      <c r="Q142" s="514"/>
      <c r="R142" s="515"/>
      <c r="S142" s="515"/>
      <c r="T142" s="515"/>
      <c r="U142" s="515"/>
      <c r="V142" s="515"/>
      <c r="W142" s="515"/>
      <c r="X142" s="515"/>
      <c r="Y142" s="515"/>
    </row>
    <row r="143" spans="1:25" ht="15.75" customHeight="1">
      <c r="A143" s="526"/>
      <c r="B143" s="527"/>
      <c r="C143" s="537" t="s">
        <v>57</v>
      </c>
      <c r="D143" s="550"/>
      <c r="E143" s="530"/>
      <c r="F143" s="530"/>
      <c r="G143" s="530"/>
      <c r="H143" s="530"/>
      <c r="I143" s="513"/>
      <c r="J143" s="514"/>
      <c r="K143" s="514"/>
      <c r="L143" s="514"/>
      <c r="M143" s="514"/>
      <c r="N143" s="514"/>
      <c r="O143" s="514"/>
      <c r="P143" s="514"/>
      <c r="Q143" s="514"/>
      <c r="R143" s="515"/>
      <c r="S143" s="515"/>
      <c r="T143" s="515"/>
      <c r="U143" s="515"/>
      <c r="V143" s="515"/>
      <c r="W143" s="515"/>
      <c r="X143" s="515"/>
      <c r="Y143" s="515"/>
    </row>
    <row r="144" spans="1:25" ht="15.75" customHeight="1">
      <c r="A144" s="526"/>
      <c r="B144" s="533"/>
      <c r="C144" s="533" t="s">
        <v>101</v>
      </c>
      <c r="D144" s="551"/>
      <c r="E144" s="535"/>
      <c r="F144" s="535"/>
      <c r="G144" s="535"/>
      <c r="H144" s="535"/>
      <c r="I144" s="513"/>
      <c r="J144" s="514"/>
      <c r="K144" s="514"/>
      <c r="L144" s="514"/>
      <c r="M144" s="514"/>
      <c r="N144" s="514"/>
      <c r="O144" s="514"/>
      <c r="P144" s="514"/>
      <c r="Q144" s="514"/>
      <c r="R144" s="515"/>
      <c r="S144" s="515"/>
      <c r="T144" s="515"/>
      <c r="U144" s="515"/>
      <c r="V144" s="515"/>
      <c r="W144" s="515"/>
      <c r="X144" s="515"/>
      <c r="Y144" s="515"/>
    </row>
    <row r="145" spans="1:25" ht="15.75" customHeight="1">
      <c r="A145" s="526"/>
      <c r="B145" s="700" t="s">
        <v>105</v>
      </c>
      <c r="C145" s="537" t="s">
        <v>1570</v>
      </c>
      <c r="D145" s="552"/>
      <c r="E145" s="539"/>
      <c r="F145" s="539" t="s">
        <v>106</v>
      </c>
      <c r="G145" s="539"/>
      <c r="H145" s="539"/>
      <c r="I145" s="513"/>
      <c r="J145" s="514"/>
      <c r="K145" s="514"/>
      <c r="L145" s="514"/>
      <c r="M145" s="514"/>
      <c r="N145" s="514"/>
      <c r="O145" s="514"/>
      <c r="P145" s="514"/>
      <c r="Q145" s="514"/>
      <c r="R145" s="515"/>
      <c r="S145" s="515"/>
      <c r="T145" s="515"/>
      <c r="U145" s="515"/>
      <c r="V145" s="515"/>
      <c r="W145" s="515"/>
      <c r="X145" s="515"/>
      <c r="Y145" s="515"/>
    </row>
    <row r="146" spans="1:25" ht="62.5" customHeight="1">
      <c r="A146" s="526"/>
      <c r="B146" s="698"/>
      <c r="C146" s="527" t="s">
        <v>107</v>
      </c>
      <c r="D146" s="550"/>
      <c r="E146" s="530"/>
      <c r="F146" s="530"/>
      <c r="G146" s="530"/>
      <c r="H146" s="530"/>
      <c r="I146" s="513"/>
      <c r="J146" s="514"/>
      <c r="K146" s="514"/>
      <c r="L146" s="514"/>
      <c r="M146" s="514"/>
      <c r="N146" s="514"/>
      <c r="O146" s="514"/>
      <c r="P146" s="514"/>
      <c r="Q146" s="514"/>
      <c r="R146" s="515"/>
      <c r="S146" s="515"/>
      <c r="T146" s="515"/>
      <c r="U146" s="515"/>
      <c r="V146" s="515"/>
      <c r="W146" s="515"/>
      <c r="X146" s="515"/>
      <c r="Y146" s="515"/>
    </row>
    <row r="147" spans="1:25" ht="15.75" customHeight="1">
      <c r="A147" s="526"/>
      <c r="B147" s="698"/>
      <c r="C147" s="537" t="s">
        <v>1574</v>
      </c>
      <c r="D147" s="550"/>
      <c r="E147" s="530"/>
      <c r="F147" s="530"/>
      <c r="G147" s="530"/>
      <c r="H147" s="530"/>
      <c r="I147" s="513"/>
      <c r="J147" s="514"/>
      <c r="K147" s="514"/>
      <c r="L147" s="514"/>
      <c r="M147" s="514"/>
      <c r="N147" s="514"/>
      <c r="O147" s="514"/>
      <c r="P147" s="514"/>
      <c r="Q147" s="514"/>
      <c r="R147" s="515"/>
      <c r="S147" s="515"/>
      <c r="T147" s="515"/>
      <c r="U147" s="515"/>
      <c r="V147" s="515"/>
      <c r="W147" s="515"/>
      <c r="X147" s="515"/>
      <c r="Y147" s="515"/>
    </row>
    <row r="148" spans="1:25" ht="15.75" customHeight="1">
      <c r="A148" s="526"/>
      <c r="B148" s="698"/>
      <c r="C148" s="527" t="s">
        <v>108</v>
      </c>
      <c r="D148" s="550"/>
      <c r="E148" s="530"/>
      <c r="F148" s="530"/>
      <c r="G148" s="530"/>
      <c r="H148" s="530"/>
      <c r="I148" s="513"/>
      <c r="J148" s="514"/>
      <c r="K148" s="514"/>
      <c r="L148" s="514"/>
      <c r="M148" s="514"/>
      <c r="N148" s="514"/>
      <c r="O148" s="514"/>
      <c r="P148" s="514"/>
      <c r="Q148" s="514"/>
      <c r="R148" s="515"/>
      <c r="S148" s="515"/>
      <c r="T148" s="515"/>
      <c r="U148" s="515"/>
      <c r="V148" s="515"/>
      <c r="W148" s="515"/>
      <c r="X148" s="515"/>
      <c r="Y148" s="515"/>
    </row>
    <row r="149" spans="1:25" ht="15.75" customHeight="1">
      <c r="A149" s="526"/>
      <c r="B149" s="698"/>
      <c r="C149" s="537" t="s">
        <v>40</v>
      </c>
      <c r="D149" s="550"/>
      <c r="E149" s="530"/>
      <c r="F149" s="530"/>
      <c r="G149" s="530"/>
      <c r="H149" s="530"/>
      <c r="I149" s="513"/>
      <c r="J149" s="514"/>
      <c r="K149" s="514"/>
      <c r="L149" s="514"/>
      <c r="M149" s="514"/>
      <c r="N149" s="514"/>
      <c r="O149" s="514"/>
      <c r="P149" s="514"/>
      <c r="Q149" s="514"/>
      <c r="R149" s="515"/>
      <c r="S149" s="515"/>
      <c r="T149" s="515"/>
      <c r="U149" s="515"/>
      <c r="V149" s="515"/>
      <c r="W149" s="515"/>
      <c r="X149" s="515"/>
      <c r="Y149" s="515"/>
    </row>
    <row r="150" spans="1:25" ht="15.75" customHeight="1">
      <c r="A150" s="526"/>
      <c r="B150" s="698"/>
      <c r="C150" s="527" t="s">
        <v>72</v>
      </c>
      <c r="D150" s="550"/>
      <c r="E150" s="530"/>
      <c r="F150" s="530"/>
      <c r="G150" s="530"/>
      <c r="H150" s="530"/>
      <c r="I150" s="513"/>
      <c r="J150" s="514"/>
      <c r="K150" s="514"/>
      <c r="L150" s="514"/>
      <c r="M150" s="514"/>
      <c r="N150" s="514"/>
      <c r="O150" s="514"/>
      <c r="P150" s="514"/>
      <c r="Q150" s="514"/>
      <c r="R150" s="515"/>
      <c r="S150" s="515"/>
      <c r="T150" s="515"/>
      <c r="U150" s="515"/>
      <c r="V150" s="515"/>
      <c r="W150" s="515"/>
      <c r="X150" s="515"/>
      <c r="Y150" s="515"/>
    </row>
    <row r="151" spans="1:25" ht="15.75" customHeight="1">
      <c r="A151" s="526"/>
      <c r="B151" s="698"/>
      <c r="C151" s="553" t="s">
        <v>47</v>
      </c>
      <c r="D151" s="550"/>
      <c r="E151" s="530"/>
      <c r="F151" s="530"/>
      <c r="G151" s="530"/>
      <c r="H151" s="530"/>
      <c r="I151" s="513"/>
      <c r="J151" s="514"/>
      <c r="K151" s="514"/>
      <c r="L151" s="514"/>
      <c r="M151" s="514"/>
      <c r="N151" s="514"/>
      <c r="O151" s="514"/>
      <c r="P151" s="514"/>
      <c r="Q151" s="514"/>
      <c r="R151" s="515"/>
      <c r="S151" s="515"/>
      <c r="T151" s="515"/>
      <c r="U151" s="515"/>
      <c r="V151" s="515"/>
      <c r="W151" s="515"/>
      <c r="X151" s="515"/>
      <c r="Y151" s="515"/>
    </row>
    <row r="152" spans="1:25" ht="15.75" customHeight="1">
      <c r="A152" s="526"/>
      <c r="B152" s="699"/>
      <c r="C152" s="494" t="s">
        <v>73</v>
      </c>
      <c r="D152" s="551"/>
      <c r="E152" s="535"/>
      <c r="F152" s="535"/>
      <c r="G152" s="535"/>
      <c r="H152" s="535"/>
      <c r="I152" s="513"/>
      <c r="J152" s="514"/>
      <c r="K152" s="514"/>
      <c r="L152" s="514"/>
      <c r="M152" s="514"/>
      <c r="N152" s="514"/>
      <c r="O152" s="514"/>
      <c r="P152" s="514"/>
      <c r="Q152" s="514"/>
      <c r="R152" s="515"/>
      <c r="S152" s="515"/>
      <c r="T152" s="515"/>
      <c r="U152" s="515"/>
      <c r="V152" s="515"/>
      <c r="W152" s="515"/>
      <c r="X152" s="515"/>
      <c r="Y152" s="515"/>
    </row>
    <row r="153" spans="1:25" ht="15.75" customHeight="1">
      <c r="A153" s="526"/>
      <c r="B153" s="713" t="s">
        <v>109</v>
      </c>
      <c r="C153" s="537" t="s">
        <v>1570</v>
      </c>
      <c r="D153" s="552"/>
      <c r="E153" s="539" t="s">
        <v>110</v>
      </c>
      <c r="F153" s="539" t="s">
        <v>55</v>
      </c>
      <c r="G153" s="539" t="s">
        <v>111</v>
      </c>
      <c r="H153" s="705"/>
      <c r="I153" s="513"/>
      <c r="J153" s="514"/>
      <c r="K153" s="558"/>
      <c r="L153" s="514"/>
      <c r="M153" s="514"/>
      <c r="N153" s="514"/>
      <c r="O153" s="514"/>
      <c r="P153" s="514"/>
      <c r="Q153" s="514"/>
      <c r="R153" s="515"/>
      <c r="S153" s="515"/>
      <c r="T153" s="515"/>
      <c r="U153" s="515"/>
      <c r="V153" s="515"/>
      <c r="W153" s="515"/>
      <c r="X153" s="515"/>
      <c r="Y153" s="515"/>
    </row>
    <row r="154" spans="1:25" ht="96.75" customHeight="1">
      <c r="A154" s="526"/>
      <c r="B154" s="694"/>
      <c r="C154" s="527" t="s">
        <v>112</v>
      </c>
      <c r="D154" s="550"/>
      <c r="E154" s="530"/>
      <c r="F154" s="530"/>
      <c r="G154" s="530"/>
      <c r="H154" s="702"/>
      <c r="I154" s="513"/>
      <c r="J154" s="514"/>
      <c r="K154" s="514"/>
      <c r="L154" s="514"/>
      <c r="M154" s="514"/>
      <c r="N154" s="514"/>
      <c r="O154" s="514"/>
      <c r="P154" s="514"/>
      <c r="Q154" s="514"/>
      <c r="R154" s="515"/>
      <c r="S154" s="515"/>
      <c r="T154" s="515"/>
      <c r="U154" s="515"/>
      <c r="V154" s="515"/>
      <c r="W154" s="515"/>
      <c r="X154" s="515"/>
      <c r="Y154" s="515"/>
    </row>
    <row r="155" spans="1:25" ht="11" customHeight="1">
      <c r="A155" s="526"/>
      <c r="B155" s="694"/>
      <c r="C155" s="537" t="s">
        <v>57</v>
      </c>
      <c r="D155" s="550"/>
      <c r="E155" s="530"/>
      <c r="F155" s="530"/>
      <c r="G155" s="530"/>
      <c r="H155" s="702"/>
      <c r="I155" s="513"/>
      <c r="J155" s="514"/>
      <c r="K155" s="514"/>
      <c r="L155" s="514"/>
      <c r="M155" s="514"/>
      <c r="N155" s="514"/>
      <c r="O155" s="514"/>
      <c r="P155" s="514"/>
      <c r="Q155" s="514"/>
      <c r="R155" s="515"/>
      <c r="S155" s="515"/>
      <c r="T155" s="515"/>
      <c r="U155" s="515"/>
      <c r="V155" s="515"/>
      <c r="W155" s="515"/>
      <c r="X155" s="515"/>
      <c r="Y155" s="515"/>
    </row>
    <row r="156" spans="1:25" ht="12" customHeight="1">
      <c r="A156" s="526"/>
      <c r="B156" s="694"/>
      <c r="C156" s="527" t="s">
        <v>113</v>
      </c>
      <c r="D156" s="550"/>
      <c r="E156" s="530"/>
      <c r="F156" s="530"/>
      <c r="G156" s="530"/>
      <c r="H156" s="702"/>
      <c r="I156" s="513"/>
      <c r="J156" s="514"/>
      <c r="K156" s="514"/>
      <c r="L156" s="514"/>
      <c r="M156" s="514"/>
      <c r="N156" s="514"/>
      <c r="O156" s="514"/>
      <c r="P156" s="514"/>
      <c r="Q156" s="514"/>
      <c r="R156" s="515"/>
      <c r="S156" s="515"/>
      <c r="T156" s="515"/>
      <c r="U156" s="515"/>
      <c r="V156" s="515"/>
      <c r="W156" s="515"/>
      <c r="X156" s="515"/>
      <c r="Y156" s="515"/>
    </row>
    <row r="157" spans="1:25" ht="12" customHeight="1">
      <c r="A157" s="526"/>
      <c r="B157" s="694"/>
      <c r="C157" s="537" t="s">
        <v>38</v>
      </c>
      <c r="D157" s="550"/>
      <c r="E157" s="530"/>
      <c r="F157" s="530"/>
      <c r="G157" s="530"/>
      <c r="H157" s="702"/>
      <c r="I157" s="513"/>
      <c r="J157" s="514"/>
      <c r="K157" s="514"/>
      <c r="L157" s="514"/>
      <c r="M157" s="514"/>
      <c r="N157" s="514"/>
      <c r="O157" s="514"/>
      <c r="P157" s="514"/>
      <c r="Q157" s="514"/>
      <c r="R157" s="515"/>
      <c r="S157" s="515"/>
      <c r="T157" s="515"/>
      <c r="U157" s="515"/>
      <c r="V157" s="515"/>
      <c r="W157" s="515"/>
      <c r="X157" s="515"/>
      <c r="Y157" s="515"/>
    </row>
    <row r="158" spans="1:25" ht="15.75" customHeight="1">
      <c r="A158" s="526"/>
      <c r="B158" s="694"/>
      <c r="C158" s="527" t="s">
        <v>114</v>
      </c>
      <c r="D158" s="550"/>
      <c r="E158" s="530"/>
      <c r="F158" s="530"/>
      <c r="G158" s="530"/>
      <c r="H158" s="702"/>
      <c r="I158" s="513"/>
      <c r="J158" s="514"/>
      <c r="K158" s="514"/>
      <c r="L158" s="514"/>
      <c r="M158" s="514"/>
      <c r="N158" s="514"/>
      <c r="O158" s="514"/>
      <c r="P158" s="514"/>
      <c r="Q158" s="514"/>
      <c r="R158" s="515"/>
      <c r="S158" s="515"/>
      <c r="T158" s="515"/>
      <c r="U158" s="515"/>
      <c r="V158" s="515"/>
      <c r="W158" s="515"/>
      <c r="X158" s="515"/>
      <c r="Y158" s="515"/>
    </row>
    <row r="159" spans="1:25" ht="26.75" customHeight="1">
      <c r="A159" s="526"/>
      <c r="B159" s="694"/>
      <c r="C159" s="527" t="s">
        <v>1606</v>
      </c>
      <c r="D159" s="550"/>
      <c r="E159" s="530"/>
      <c r="F159" s="530"/>
      <c r="G159" s="530"/>
      <c r="H159" s="702"/>
      <c r="I159" s="513"/>
      <c r="J159" s="514"/>
      <c r="K159" s="514"/>
      <c r="L159" s="514"/>
      <c r="M159" s="514"/>
      <c r="N159" s="514"/>
      <c r="O159" s="514"/>
      <c r="P159" s="514"/>
      <c r="Q159" s="514"/>
      <c r="R159" s="515"/>
      <c r="S159" s="515"/>
      <c r="T159" s="515"/>
      <c r="U159" s="515"/>
      <c r="V159" s="515"/>
      <c r="W159" s="515"/>
      <c r="X159" s="515"/>
      <c r="Y159" s="515"/>
    </row>
    <row r="160" spans="1:25" ht="15.75" customHeight="1">
      <c r="A160" s="526"/>
      <c r="B160" s="694"/>
      <c r="C160" s="495" t="s">
        <v>82</v>
      </c>
      <c r="D160" s="550"/>
      <c r="E160" s="530"/>
      <c r="F160" s="530"/>
      <c r="G160" s="530"/>
      <c r="H160" s="702"/>
      <c r="I160" s="513"/>
      <c r="J160" s="514"/>
      <c r="K160" s="514"/>
      <c r="L160" s="514"/>
      <c r="M160" s="514"/>
      <c r="N160" s="514"/>
      <c r="O160" s="514"/>
      <c r="P160" s="514"/>
      <c r="Q160" s="514"/>
      <c r="R160" s="515"/>
      <c r="S160" s="515"/>
      <c r="T160" s="515"/>
      <c r="U160" s="515"/>
      <c r="V160" s="515"/>
      <c r="W160" s="515"/>
      <c r="X160" s="515"/>
      <c r="Y160" s="515"/>
    </row>
    <row r="161" spans="1:25" ht="15.75" customHeight="1">
      <c r="A161" s="526"/>
      <c r="B161" s="714"/>
      <c r="C161" s="494" t="s">
        <v>73</v>
      </c>
      <c r="D161" s="551"/>
      <c r="E161" s="535"/>
      <c r="F161" s="535"/>
      <c r="G161" s="535"/>
      <c r="H161" s="703"/>
      <c r="I161" s="513"/>
      <c r="J161" s="514"/>
      <c r="K161" s="514"/>
      <c r="L161" s="514"/>
      <c r="M161" s="514"/>
      <c r="N161" s="514"/>
      <c r="O161" s="514"/>
      <c r="P161" s="514"/>
      <c r="Q161" s="514"/>
      <c r="R161" s="515"/>
      <c r="S161" s="515"/>
      <c r="T161" s="515"/>
      <c r="U161" s="515"/>
      <c r="V161" s="515"/>
      <c r="W161" s="515"/>
      <c r="X161" s="515"/>
      <c r="Y161" s="515"/>
    </row>
    <row r="162" spans="1:25" ht="15.75" customHeight="1">
      <c r="A162" s="526"/>
      <c r="B162" s="713" t="s">
        <v>115</v>
      </c>
      <c r="C162" s="537" t="s">
        <v>1570</v>
      </c>
      <c r="D162" s="552"/>
      <c r="E162" s="539"/>
      <c r="F162" s="539"/>
      <c r="G162" s="539"/>
      <c r="H162" s="539"/>
      <c r="I162" s="513"/>
      <c r="J162" s="514"/>
      <c r="K162" s="514"/>
      <c r="L162" s="514"/>
      <c r="M162" s="514"/>
      <c r="N162" s="514"/>
      <c r="O162" s="514"/>
      <c r="P162" s="514"/>
      <c r="Q162" s="514"/>
      <c r="R162" s="515"/>
      <c r="S162" s="515"/>
      <c r="T162" s="515"/>
      <c r="U162" s="515"/>
      <c r="V162" s="515"/>
      <c r="W162" s="515"/>
      <c r="X162" s="515"/>
      <c r="Y162" s="515"/>
    </row>
    <row r="163" spans="1:25" ht="96.75" customHeight="1">
      <c r="A163" s="526"/>
      <c r="B163" s="694"/>
      <c r="C163" s="519" t="s">
        <v>116</v>
      </c>
      <c r="D163" s="550"/>
      <c r="E163" s="530"/>
      <c r="F163" s="530"/>
      <c r="G163" s="530"/>
      <c r="H163" s="530"/>
      <c r="I163" s="513"/>
      <c r="J163" s="514"/>
      <c r="K163" s="514"/>
      <c r="L163" s="514"/>
      <c r="M163" s="514"/>
      <c r="N163" s="514"/>
      <c r="O163" s="514"/>
      <c r="P163" s="514"/>
      <c r="Q163" s="514"/>
      <c r="R163" s="515"/>
      <c r="S163" s="515"/>
      <c r="T163" s="515"/>
      <c r="U163" s="515"/>
      <c r="V163" s="515"/>
      <c r="W163" s="515"/>
      <c r="X163" s="515"/>
      <c r="Y163" s="515"/>
    </row>
    <row r="164" spans="1:25" ht="15.75" customHeight="1">
      <c r="A164" s="526"/>
      <c r="B164" s="694"/>
      <c r="C164" s="537" t="s">
        <v>57</v>
      </c>
      <c r="D164" s="550"/>
      <c r="E164" s="530"/>
      <c r="F164" s="530"/>
      <c r="G164" s="530"/>
      <c r="H164" s="530"/>
      <c r="I164" s="513"/>
      <c r="J164" s="514"/>
      <c r="K164" s="514"/>
      <c r="L164" s="514"/>
      <c r="M164" s="514"/>
      <c r="N164" s="514"/>
      <c r="O164" s="514"/>
      <c r="P164" s="514"/>
      <c r="Q164" s="514"/>
      <c r="R164" s="515"/>
      <c r="S164" s="515"/>
      <c r="T164" s="515"/>
      <c r="U164" s="515"/>
      <c r="V164" s="515"/>
      <c r="W164" s="515"/>
      <c r="X164" s="515"/>
      <c r="Y164" s="515"/>
    </row>
    <row r="165" spans="1:25" ht="15.75" customHeight="1">
      <c r="A165" s="526"/>
      <c r="B165" s="694"/>
      <c r="C165" s="519" t="s">
        <v>117</v>
      </c>
      <c r="D165" s="550"/>
      <c r="E165" s="530"/>
      <c r="F165" s="530"/>
      <c r="G165" s="530"/>
      <c r="H165" s="530"/>
      <c r="I165" s="513"/>
      <c r="J165" s="514"/>
      <c r="K165" s="514"/>
      <c r="L165" s="514"/>
      <c r="M165" s="514"/>
      <c r="N165" s="514"/>
      <c r="O165" s="514"/>
      <c r="P165" s="514"/>
      <c r="Q165" s="514"/>
      <c r="R165" s="515"/>
      <c r="S165" s="515"/>
      <c r="T165" s="515"/>
      <c r="U165" s="515"/>
      <c r="V165" s="515"/>
      <c r="W165" s="515"/>
      <c r="X165" s="515"/>
      <c r="Y165" s="515"/>
    </row>
    <row r="166" spans="1:25" ht="15.75" customHeight="1">
      <c r="A166" s="526"/>
      <c r="B166" s="694"/>
      <c r="C166" s="537" t="s">
        <v>38</v>
      </c>
      <c r="D166" s="550"/>
      <c r="E166" s="530"/>
      <c r="F166" s="530"/>
      <c r="G166" s="530"/>
      <c r="H166" s="530"/>
      <c r="I166" s="513"/>
      <c r="J166" s="514"/>
      <c r="K166" s="514"/>
      <c r="L166" s="514"/>
      <c r="M166" s="514"/>
      <c r="N166" s="514"/>
      <c r="O166" s="514"/>
      <c r="P166" s="514"/>
      <c r="Q166" s="514"/>
      <c r="R166" s="515"/>
      <c r="S166" s="515"/>
      <c r="T166" s="515"/>
      <c r="U166" s="515"/>
      <c r="V166" s="515"/>
      <c r="W166" s="515"/>
      <c r="X166" s="515"/>
      <c r="Y166" s="515"/>
    </row>
    <row r="167" spans="1:25" ht="15.75" customHeight="1">
      <c r="A167" s="526"/>
      <c r="B167" s="694"/>
      <c r="C167" s="519" t="s">
        <v>118</v>
      </c>
      <c r="D167" s="550"/>
      <c r="E167" s="530"/>
      <c r="F167" s="530"/>
      <c r="G167" s="530"/>
      <c r="H167" s="530"/>
      <c r="I167" s="513"/>
      <c r="J167" s="514"/>
      <c r="K167" s="514"/>
      <c r="L167" s="514"/>
      <c r="M167" s="514"/>
      <c r="N167" s="514"/>
      <c r="O167" s="514"/>
      <c r="P167" s="514"/>
      <c r="Q167" s="514"/>
      <c r="R167" s="515"/>
      <c r="S167" s="515"/>
      <c r="T167" s="515"/>
      <c r="U167" s="515"/>
      <c r="V167" s="515"/>
      <c r="W167" s="515"/>
      <c r="X167" s="515"/>
      <c r="Y167" s="515"/>
    </row>
    <row r="168" spans="1:25" ht="26.75" customHeight="1">
      <c r="A168" s="526"/>
      <c r="B168" s="694"/>
      <c r="C168" s="519" t="s">
        <v>1606</v>
      </c>
      <c r="D168" s="550"/>
      <c r="E168" s="530"/>
      <c r="F168" s="530"/>
      <c r="G168" s="530"/>
      <c r="H168" s="530"/>
      <c r="I168" s="513"/>
      <c r="J168" s="514"/>
      <c r="K168" s="514"/>
      <c r="L168" s="514"/>
      <c r="M168" s="514"/>
      <c r="N168" s="514"/>
      <c r="O168" s="514"/>
      <c r="P168" s="514"/>
      <c r="Q168" s="514"/>
      <c r="R168" s="515"/>
      <c r="S168" s="515"/>
      <c r="T168" s="515"/>
      <c r="U168" s="515"/>
      <c r="V168" s="515"/>
      <c r="W168" s="515"/>
      <c r="X168" s="515"/>
      <c r="Y168" s="515"/>
    </row>
    <row r="169" spans="1:25" ht="15.75" customHeight="1">
      <c r="A169" s="526"/>
      <c r="B169" s="694"/>
      <c r="C169" s="496" t="s">
        <v>82</v>
      </c>
      <c r="D169" s="550"/>
      <c r="E169" s="530"/>
      <c r="F169" s="530"/>
      <c r="G169" s="530"/>
      <c r="H169" s="530"/>
      <c r="I169" s="513"/>
      <c r="J169" s="514"/>
      <c r="K169" s="514"/>
      <c r="L169" s="514"/>
      <c r="M169" s="514"/>
      <c r="N169" s="514"/>
      <c r="O169" s="514"/>
      <c r="P169" s="514"/>
      <c r="Q169" s="514"/>
      <c r="R169" s="515"/>
      <c r="S169" s="515"/>
      <c r="T169" s="515"/>
      <c r="U169" s="515"/>
      <c r="V169" s="515"/>
      <c r="W169" s="515"/>
      <c r="X169" s="515"/>
      <c r="Y169" s="515"/>
    </row>
    <row r="170" spans="1:25" ht="15.75" customHeight="1">
      <c r="A170" s="526"/>
      <c r="B170" s="714"/>
      <c r="C170" s="497" t="s">
        <v>73</v>
      </c>
      <c r="D170" s="551"/>
      <c r="E170" s="535"/>
      <c r="F170" s="535"/>
      <c r="G170" s="535"/>
      <c r="H170" s="535"/>
      <c r="I170" s="513"/>
      <c r="J170" s="514"/>
      <c r="K170" s="514"/>
      <c r="L170" s="514"/>
      <c r="M170" s="514"/>
      <c r="N170" s="514"/>
      <c r="O170" s="514"/>
      <c r="P170" s="514"/>
      <c r="Q170" s="514"/>
      <c r="R170" s="515"/>
      <c r="S170" s="515"/>
      <c r="T170" s="515"/>
      <c r="U170" s="515"/>
      <c r="V170" s="515"/>
      <c r="W170" s="515"/>
      <c r="X170" s="515"/>
      <c r="Y170" s="515"/>
    </row>
    <row r="171" spans="1:25" ht="15.75" customHeight="1">
      <c r="A171" s="526"/>
      <c r="B171" s="713" t="s">
        <v>119</v>
      </c>
      <c r="C171" s="537" t="s">
        <v>1570</v>
      </c>
      <c r="D171" s="552"/>
      <c r="E171" s="539"/>
      <c r="F171" s="539"/>
      <c r="G171" s="539"/>
      <c r="H171" s="539"/>
      <c r="I171" s="513"/>
      <c r="J171" s="514"/>
      <c r="K171" s="514"/>
      <c r="L171" s="514"/>
      <c r="M171" s="514"/>
      <c r="N171" s="514"/>
      <c r="O171" s="514"/>
      <c r="P171" s="514"/>
      <c r="Q171" s="514"/>
      <c r="R171" s="515"/>
      <c r="S171" s="515"/>
      <c r="T171" s="515"/>
      <c r="U171" s="515"/>
      <c r="V171" s="515"/>
      <c r="W171" s="515"/>
      <c r="X171" s="515"/>
      <c r="Y171" s="515"/>
    </row>
    <row r="172" spans="1:25" ht="62.5" customHeight="1">
      <c r="A172" s="526"/>
      <c r="B172" s="694"/>
      <c r="C172" s="527" t="s">
        <v>120</v>
      </c>
      <c r="D172" s="550"/>
      <c r="E172" s="530"/>
      <c r="F172" s="530"/>
      <c r="G172" s="530"/>
      <c r="H172" s="530"/>
      <c r="I172" s="513"/>
      <c r="J172" s="514"/>
      <c r="K172" s="514"/>
      <c r="L172" s="514"/>
      <c r="M172" s="514"/>
      <c r="N172" s="514"/>
      <c r="O172" s="514"/>
      <c r="P172" s="514"/>
      <c r="Q172" s="514"/>
      <c r="R172" s="515"/>
      <c r="S172" s="515"/>
      <c r="T172" s="515"/>
      <c r="U172" s="515"/>
      <c r="V172" s="515"/>
      <c r="W172" s="515"/>
      <c r="X172" s="515"/>
      <c r="Y172" s="515"/>
    </row>
    <row r="173" spans="1:25" ht="15.75" customHeight="1">
      <c r="A173" s="526"/>
      <c r="B173" s="694"/>
      <c r="C173" s="537" t="s">
        <v>38</v>
      </c>
      <c r="D173" s="550"/>
      <c r="E173" s="530"/>
      <c r="F173" s="530"/>
      <c r="G173" s="530"/>
      <c r="H173" s="530"/>
      <c r="I173" s="513"/>
      <c r="J173" s="514"/>
      <c r="K173" s="514"/>
      <c r="L173" s="514"/>
      <c r="M173" s="514"/>
      <c r="N173" s="514"/>
      <c r="O173" s="514"/>
      <c r="P173" s="514"/>
      <c r="Q173" s="514"/>
      <c r="R173" s="515"/>
      <c r="S173" s="515"/>
      <c r="T173" s="515"/>
      <c r="U173" s="515"/>
      <c r="V173" s="515"/>
      <c r="W173" s="515"/>
      <c r="X173" s="515"/>
      <c r="Y173" s="515"/>
    </row>
    <row r="174" spans="1:25" ht="50" customHeight="1">
      <c r="A174" s="526"/>
      <c r="B174" s="694"/>
      <c r="C174" s="527" t="s">
        <v>121</v>
      </c>
      <c r="D174" s="550"/>
      <c r="E174" s="530"/>
      <c r="F174" s="530"/>
      <c r="G174" s="530"/>
      <c r="H174" s="530"/>
      <c r="I174" s="513"/>
      <c r="J174" s="514"/>
      <c r="K174" s="514"/>
      <c r="L174" s="514"/>
      <c r="M174" s="514"/>
      <c r="N174" s="514"/>
      <c r="O174" s="514"/>
      <c r="P174" s="514"/>
      <c r="Q174" s="514"/>
      <c r="R174" s="515"/>
      <c r="S174" s="515"/>
      <c r="T174" s="515"/>
      <c r="U174" s="515"/>
      <c r="V174" s="515"/>
      <c r="W174" s="515"/>
      <c r="X174" s="515"/>
      <c r="Y174" s="515"/>
    </row>
    <row r="175" spans="1:25" ht="15.75" customHeight="1">
      <c r="A175" s="526"/>
      <c r="B175" s="694"/>
      <c r="C175" s="537" t="s">
        <v>40</v>
      </c>
      <c r="D175" s="550"/>
      <c r="E175" s="530"/>
      <c r="F175" s="530"/>
      <c r="G175" s="530"/>
      <c r="H175" s="530"/>
      <c r="I175" s="513"/>
      <c r="J175" s="514"/>
      <c r="K175" s="514"/>
      <c r="L175" s="514"/>
      <c r="M175" s="514"/>
      <c r="N175" s="514"/>
      <c r="O175" s="514"/>
      <c r="P175" s="514"/>
      <c r="Q175" s="514"/>
      <c r="R175" s="515"/>
      <c r="S175" s="515"/>
      <c r="T175" s="515"/>
      <c r="U175" s="515"/>
      <c r="V175" s="515"/>
      <c r="W175" s="515"/>
      <c r="X175" s="515"/>
      <c r="Y175" s="515"/>
    </row>
    <row r="176" spans="1:25" ht="15.75" customHeight="1">
      <c r="A176" s="526"/>
      <c r="B176" s="714"/>
      <c r="C176" s="533" t="s">
        <v>122</v>
      </c>
      <c r="D176" s="551"/>
      <c r="E176" s="535"/>
      <c r="F176" s="535"/>
      <c r="G176" s="535"/>
      <c r="H176" s="535"/>
      <c r="I176" s="513"/>
      <c r="J176" s="514"/>
      <c r="K176" s="514"/>
      <c r="L176" s="514"/>
      <c r="M176" s="514"/>
      <c r="N176" s="514"/>
      <c r="O176" s="514"/>
      <c r="P176" s="514"/>
      <c r="Q176" s="514"/>
      <c r="R176" s="515"/>
      <c r="S176" s="515"/>
      <c r="T176" s="515"/>
      <c r="U176" s="515"/>
      <c r="V176" s="515"/>
      <c r="W176" s="515"/>
      <c r="X176" s="515"/>
      <c r="Y176" s="515"/>
    </row>
    <row r="177" spans="1:25" ht="15.75" customHeight="1">
      <c r="A177" s="526"/>
      <c r="B177" s="700" t="s">
        <v>123</v>
      </c>
      <c r="C177" s="537" t="s">
        <v>1570</v>
      </c>
      <c r="D177" s="552"/>
      <c r="E177" s="539" t="s">
        <v>124</v>
      </c>
      <c r="F177" s="539" t="s">
        <v>55</v>
      </c>
      <c r="G177" s="539" t="s">
        <v>125</v>
      </c>
      <c r="H177" s="539"/>
      <c r="I177" s="513"/>
      <c r="J177" s="514"/>
      <c r="K177" s="514"/>
      <c r="L177" s="514"/>
      <c r="M177" s="514"/>
      <c r="N177" s="514"/>
      <c r="O177" s="514"/>
      <c r="P177" s="514"/>
      <c r="Q177" s="514"/>
      <c r="R177" s="515"/>
      <c r="S177" s="515"/>
      <c r="T177" s="515"/>
      <c r="U177" s="515"/>
      <c r="V177" s="515"/>
      <c r="W177" s="515"/>
      <c r="X177" s="515"/>
      <c r="Y177" s="515"/>
    </row>
    <row r="178" spans="1:25" ht="39.25" customHeight="1">
      <c r="A178" s="526"/>
      <c r="B178" s="698"/>
      <c r="C178" s="527" t="s">
        <v>126</v>
      </c>
      <c r="D178" s="550"/>
      <c r="E178" s="530"/>
      <c r="F178" s="530"/>
      <c r="G178" s="530"/>
      <c r="H178" s="530"/>
      <c r="I178" s="513"/>
      <c r="J178" s="514"/>
      <c r="K178" s="514"/>
      <c r="L178" s="514"/>
      <c r="M178" s="514"/>
      <c r="N178" s="514"/>
      <c r="O178" s="514"/>
      <c r="P178" s="514"/>
      <c r="Q178" s="514"/>
      <c r="R178" s="515"/>
      <c r="S178" s="515"/>
      <c r="T178" s="515"/>
      <c r="U178" s="515"/>
      <c r="V178" s="515"/>
      <c r="W178" s="515"/>
      <c r="X178" s="515"/>
      <c r="Y178" s="515"/>
    </row>
    <row r="179" spans="1:25" ht="15.75" customHeight="1">
      <c r="A179" s="526"/>
      <c r="B179" s="698"/>
      <c r="C179" s="537" t="s">
        <v>38</v>
      </c>
      <c r="D179" s="550"/>
      <c r="E179" s="530"/>
      <c r="F179" s="530"/>
      <c r="G179" s="530"/>
      <c r="H179" s="530"/>
      <c r="I179" s="513"/>
      <c r="J179" s="514"/>
      <c r="K179" s="514"/>
      <c r="L179" s="514"/>
      <c r="M179" s="514"/>
      <c r="N179" s="514"/>
      <c r="O179" s="514"/>
      <c r="P179" s="514"/>
      <c r="Q179" s="514"/>
      <c r="R179" s="515"/>
      <c r="S179" s="515"/>
      <c r="T179" s="515"/>
      <c r="U179" s="515"/>
      <c r="V179" s="515"/>
      <c r="W179" s="515"/>
      <c r="X179" s="515"/>
      <c r="Y179" s="515"/>
    </row>
    <row r="180" spans="1:25" ht="39.25" customHeight="1">
      <c r="A180" s="526"/>
      <c r="B180" s="698"/>
      <c r="C180" s="531" t="s">
        <v>127</v>
      </c>
      <c r="D180" s="550"/>
      <c r="E180" s="530"/>
      <c r="F180" s="530"/>
      <c r="G180" s="530"/>
      <c r="H180" s="530"/>
      <c r="I180" s="513"/>
      <c r="J180" s="514"/>
      <c r="K180" s="514"/>
      <c r="L180" s="514"/>
      <c r="M180" s="514"/>
      <c r="N180" s="514"/>
      <c r="O180" s="514"/>
      <c r="P180" s="514"/>
      <c r="Q180" s="514"/>
      <c r="R180" s="515"/>
      <c r="S180" s="515"/>
      <c r="T180" s="515"/>
      <c r="U180" s="515"/>
      <c r="V180" s="515"/>
      <c r="W180" s="515"/>
      <c r="X180" s="515"/>
      <c r="Y180" s="515"/>
    </row>
    <row r="181" spans="1:25" ht="15.75" customHeight="1">
      <c r="A181" s="526"/>
      <c r="B181" s="698"/>
      <c r="C181" s="560" t="s">
        <v>47</v>
      </c>
      <c r="D181" s="550"/>
      <c r="E181" s="530"/>
      <c r="F181" s="530"/>
      <c r="G181" s="530"/>
      <c r="H181" s="530"/>
      <c r="I181" s="513"/>
      <c r="J181" s="514"/>
      <c r="K181" s="514"/>
      <c r="L181" s="514"/>
      <c r="M181" s="514"/>
      <c r="N181" s="514"/>
      <c r="O181" s="514"/>
      <c r="P181" s="514"/>
      <c r="Q181" s="514"/>
      <c r="R181" s="515"/>
      <c r="S181" s="515"/>
      <c r="T181" s="515"/>
      <c r="U181" s="515"/>
      <c r="V181" s="515"/>
      <c r="W181" s="515"/>
      <c r="X181" s="515"/>
      <c r="Y181" s="515"/>
    </row>
    <row r="182" spans="1:25" ht="14" customHeight="1">
      <c r="A182" s="526"/>
      <c r="B182" s="698"/>
      <c r="C182" s="495" t="s">
        <v>73</v>
      </c>
      <c r="D182" s="550"/>
      <c r="E182" s="530"/>
      <c r="F182" s="530"/>
      <c r="G182" s="530"/>
      <c r="H182" s="530"/>
      <c r="I182" s="513"/>
      <c r="J182" s="514"/>
      <c r="K182" s="514"/>
      <c r="L182" s="514"/>
      <c r="M182" s="514"/>
      <c r="N182" s="514"/>
      <c r="O182" s="514"/>
      <c r="P182" s="514"/>
      <c r="Q182" s="514"/>
      <c r="R182" s="515"/>
      <c r="S182" s="515"/>
      <c r="T182" s="515"/>
      <c r="U182" s="515"/>
      <c r="V182" s="515"/>
      <c r="W182" s="515"/>
      <c r="X182" s="515"/>
      <c r="Y182" s="515"/>
    </row>
    <row r="183" spans="1:25" ht="14" customHeight="1">
      <c r="A183" s="526"/>
      <c r="B183" s="698"/>
      <c r="C183" s="531" t="s">
        <v>1593</v>
      </c>
      <c r="D183" s="550"/>
      <c r="E183" s="530"/>
      <c r="F183" s="530"/>
      <c r="G183" s="530"/>
      <c r="H183" s="530"/>
      <c r="I183" s="513"/>
      <c r="J183" s="514"/>
      <c r="K183" s="514"/>
      <c r="L183" s="514"/>
      <c r="M183" s="514"/>
      <c r="N183" s="514"/>
      <c r="O183" s="514"/>
      <c r="P183" s="514"/>
      <c r="Q183" s="514"/>
      <c r="R183" s="515"/>
      <c r="S183" s="515"/>
      <c r="T183" s="515"/>
      <c r="U183" s="515"/>
      <c r="V183" s="515"/>
      <c r="W183" s="515"/>
      <c r="X183" s="515"/>
      <c r="Y183" s="515"/>
    </row>
    <row r="184" spans="1:25" ht="15.75" customHeight="1">
      <c r="A184" s="526"/>
      <c r="B184" s="698"/>
      <c r="C184" s="495" t="s">
        <v>128</v>
      </c>
      <c r="D184" s="550"/>
      <c r="E184" s="530"/>
      <c r="F184" s="530"/>
      <c r="G184" s="530"/>
      <c r="H184" s="530"/>
      <c r="I184" s="513"/>
      <c r="J184" s="514"/>
      <c r="K184" s="514"/>
      <c r="L184" s="514"/>
      <c r="M184" s="514"/>
      <c r="N184" s="514"/>
      <c r="O184" s="514"/>
      <c r="P184" s="514"/>
      <c r="Q184" s="514"/>
      <c r="R184" s="515"/>
      <c r="S184" s="515"/>
      <c r="T184" s="515"/>
      <c r="U184" s="515"/>
      <c r="V184" s="515"/>
      <c r="W184" s="515"/>
      <c r="X184" s="515"/>
      <c r="Y184" s="515"/>
    </row>
    <row r="185" spans="1:25" ht="15.75" customHeight="1">
      <c r="A185" s="526"/>
      <c r="B185" s="698"/>
      <c r="C185" s="531" t="s">
        <v>129</v>
      </c>
      <c r="D185" s="550"/>
      <c r="E185" s="530"/>
      <c r="F185" s="530"/>
      <c r="G185" s="530"/>
      <c r="H185" s="530"/>
      <c r="I185" s="513"/>
      <c r="J185" s="514"/>
      <c r="K185" s="514"/>
      <c r="L185" s="514"/>
      <c r="M185" s="514"/>
      <c r="N185" s="514"/>
      <c r="O185" s="514"/>
      <c r="P185" s="514"/>
      <c r="Q185" s="514"/>
      <c r="R185" s="515"/>
      <c r="S185" s="515"/>
      <c r="T185" s="515"/>
      <c r="U185" s="515"/>
      <c r="V185" s="515"/>
      <c r="W185" s="515"/>
      <c r="X185" s="515"/>
      <c r="Y185" s="515"/>
    </row>
    <row r="186" spans="1:25" ht="15.75" customHeight="1">
      <c r="A186" s="526"/>
      <c r="B186" s="698"/>
      <c r="C186" s="495" t="s">
        <v>82</v>
      </c>
      <c r="D186" s="550"/>
      <c r="E186" s="530"/>
      <c r="F186" s="530"/>
      <c r="G186" s="530"/>
      <c r="H186" s="530"/>
      <c r="I186" s="513"/>
      <c r="J186" s="514"/>
      <c r="K186" s="514"/>
      <c r="L186" s="514"/>
      <c r="M186" s="514"/>
      <c r="N186" s="514"/>
      <c r="O186" s="514"/>
      <c r="P186" s="514"/>
      <c r="Q186" s="514"/>
      <c r="R186" s="515"/>
      <c r="S186" s="515"/>
      <c r="T186" s="515"/>
      <c r="U186" s="515"/>
      <c r="V186" s="515"/>
      <c r="W186" s="515"/>
      <c r="X186" s="515"/>
      <c r="Y186" s="515"/>
    </row>
    <row r="187" spans="1:25" ht="11" customHeight="1">
      <c r="A187" s="526"/>
      <c r="B187" s="698"/>
      <c r="C187" s="560" t="s">
        <v>1561</v>
      </c>
      <c r="D187" s="550"/>
      <c r="E187" s="530"/>
      <c r="F187" s="530"/>
      <c r="G187" s="530"/>
      <c r="H187" s="530"/>
      <c r="I187" s="513"/>
      <c r="J187" s="514"/>
      <c r="K187" s="514"/>
      <c r="L187" s="514"/>
      <c r="M187" s="514"/>
      <c r="N187" s="514"/>
      <c r="O187" s="514"/>
      <c r="P187" s="514"/>
      <c r="Q187" s="514"/>
      <c r="R187" s="515"/>
      <c r="S187" s="515"/>
      <c r="T187" s="515"/>
      <c r="U187" s="515"/>
      <c r="V187" s="515"/>
      <c r="W187" s="515"/>
      <c r="X187" s="515"/>
      <c r="Y187" s="515"/>
    </row>
    <row r="188" spans="1:25" ht="15.75" customHeight="1">
      <c r="A188" s="526"/>
      <c r="B188" s="698"/>
      <c r="C188" s="495" t="s">
        <v>1594</v>
      </c>
      <c r="D188" s="550"/>
      <c r="E188" s="530"/>
      <c r="F188" s="530"/>
      <c r="G188" s="530"/>
      <c r="H188" s="530"/>
      <c r="I188" s="513"/>
      <c r="J188" s="514"/>
      <c r="K188" s="514"/>
      <c r="L188" s="514"/>
      <c r="M188" s="514"/>
      <c r="N188" s="514"/>
      <c r="O188" s="514"/>
      <c r="P188" s="514"/>
      <c r="Q188" s="514"/>
      <c r="R188" s="515"/>
      <c r="S188" s="515"/>
      <c r="T188" s="515"/>
      <c r="U188" s="515"/>
      <c r="V188" s="515"/>
      <c r="W188" s="515"/>
      <c r="X188" s="515"/>
      <c r="Y188" s="515"/>
    </row>
    <row r="189" spans="1:25" ht="15.75" customHeight="1">
      <c r="A189" s="526"/>
      <c r="B189" s="698"/>
      <c r="C189" s="528" t="s">
        <v>130</v>
      </c>
      <c r="D189" s="550"/>
      <c r="E189" s="530"/>
      <c r="F189" s="530"/>
      <c r="G189" s="530"/>
      <c r="H189" s="530"/>
      <c r="I189" s="513"/>
      <c r="J189" s="514"/>
      <c r="K189" s="514"/>
      <c r="L189" s="514"/>
      <c r="M189" s="514"/>
      <c r="N189" s="514"/>
      <c r="O189" s="514"/>
      <c r="P189" s="514"/>
      <c r="Q189" s="514"/>
      <c r="R189" s="515"/>
      <c r="S189" s="515"/>
      <c r="T189" s="515"/>
      <c r="U189" s="515"/>
      <c r="V189" s="515"/>
      <c r="W189" s="515"/>
      <c r="X189" s="515"/>
      <c r="Y189" s="515"/>
    </row>
    <row r="190" spans="1:25" ht="13" customHeight="1">
      <c r="A190" s="526"/>
      <c r="B190" s="716" t="s">
        <v>131</v>
      </c>
      <c r="C190" s="561" t="s">
        <v>1570</v>
      </c>
      <c r="D190" s="562"/>
      <c r="E190" s="563" t="s">
        <v>110</v>
      </c>
      <c r="F190" s="563" t="s">
        <v>55</v>
      </c>
      <c r="G190" s="563" t="s">
        <v>125</v>
      </c>
      <c r="H190" s="715"/>
      <c r="I190" s="513"/>
      <c r="J190" s="514"/>
      <c r="K190" s="514"/>
      <c r="L190" s="514"/>
      <c r="M190" s="514"/>
      <c r="N190" s="514"/>
      <c r="O190" s="514"/>
      <c r="P190" s="514"/>
      <c r="Q190" s="514"/>
      <c r="R190" s="515"/>
      <c r="S190" s="515"/>
      <c r="T190" s="515"/>
      <c r="U190" s="515"/>
      <c r="V190" s="515"/>
      <c r="W190" s="515"/>
      <c r="X190" s="515"/>
      <c r="Y190" s="515"/>
    </row>
    <row r="191" spans="1:25" ht="50" customHeight="1">
      <c r="A191" s="526"/>
      <c r="B191" s="694"/>
      <c r="C191" s="527" t="s">
        <v>132</v>
      </c>
      <c r="D191" s="550"/>
      <c r="E191" s="530"/>
      <c r="F191" s="530"/>
      <c r="G191" s="530"/>
      <c r="H191" s="702"/>
      <c r="I191" s="513"/>
      <c r="J191" s="514"/>
      <c r="K191" s="514"/>
      <c r="L191" s="514"/>
      <c r="M191" s="514"/>
      <c r="N191" s="514"/>
      <c r="O191" s="514"/>
      <c r="P191" s="514"/>
      <c r="Q191" s="514"/>
      <c r="R191" s="515"/>
      <c r="S191" s="515"/>
      <c r="T191" s="515"/>
      <c r="U191" s="515"/>
      <c r="V191" s="515"/>
      <c r="W191" s="515"/>
      <c r="X191" s="515"/>
      <c r="Y191" s="515"/>
    </row>
    <row r="192" spans="1:25" ht="15.75" customHeight="1">
      <c r="A192" s="526"/>
      <c r="B192" s="694"/>
      <c r="C192" s="528" t="s">
        <v>38</v>
      </c>
      <c r="D192" s="550"/>
      <c r="E192" s="530"/>
      <c r="F192" s="530"/>
      <c r="G192" s="530"/>
      <c r="H192" s="702"/>
      <c r="I192" s="513"/>
      <c r="J192" s="514"/>
      <c r="K192" s="514"/>
      <c r="L192" s="514"/>
      <c r="M192" s="514"/>
      <c r="N192" s="514"/>
      <c r="O192" s="514"/>
      <c r="P192" s="514"/>
      <c r="Q192" s="514"/>
      <c r="R192" s="515"/>
      <c r="S192" s="515"/>
      <c r="T192" s="515"/>
      <c r="U192" s="515"/>
      <c r="V192" s="515"/>
      <c r="W192" s="515"/>
      <c r="X192" s="515"/>
      <c r="Y192" s="515"/>
    </row>
    <row r="193" spans="1:25" ht="26.75" customHeight="1">
      <c r="A193" s="526"/>
      <c r="B193" s="694"/>
      <c r="C193" s="527" t="s">
        <v>133</v>
      </c>
      <c r="D193" s="550"/>
      <c r="E193" s="530"/>
      <c r="F193" s="530"/>
      <c r="G193" s="530"/>
      <c r="H193" s="702"/>
      <c r="I193" s="513"/>
      <c r="J193" s="514"/>
      <c r="K193" s="514"/>
      <c r="L193" s="514"/>
      <c r="M193" s="514"/>
      <c r="N193" s="514"/>
      <c r="O193" s="514"/>
      <c r="P193" s="514"/>
      <c r="Q193" s="514"/>
      <c r="R193" s="515"/>
      <c r="S193" s="515"/>
      <c r="T193" s="515"/>
      <c r="U193" s="515"/>
      <c r="V193" s="515"/>
      <c r="W193" s="515"/>
      <c r="X193" s="515"/>
      <c r="Y193" s="515"/>
    </row>
    <row r="194" spans="1:25" ht="15.75" customHeight="1">
      <c r="A194" s="526"/>
      <c r="B194" s="694"/>
      <c r="C194" s="528" t="s">
        <v>40</v>
      </c>
      <c r="D194" s="550"/>
      <c r="E194" s="530"/>
      <c r="F194" s="530"/>
      <c r="G194" s="530"/>
      <c r="H194" s="702"/>
      <c r="I194" s="513"/>
      <c r="J194" s="514"/>
      <c r="K194" s="514"/>
      <c r="L194" s="514"/>
      <c r="M194" s="514"/>
      <c r="N194" s="514"/>
      <c r="O194" s="514"/>
      <c r="P194" s="514"/>
      <c r="Q194" s="514"/>
      <c r="R194" s="515"/>
      <c r="S194" s="515"/>
      <c r="T194" s="515"/>
      <c r="U194" s="515"/>
      <c r="V194" s="515"/>
      <c r="W194" s="515"/>
      <c r="X194" s="515"/>
      <c r="Y194" s="515"/>
    </row>
    <row r="195" spans="1:25" ht="15.75" customHeight="1">
      <c r="A195" s="526"/>
      <c r="B195" s="694"/>
      <c r="C195" s="527" t="s">
        <v>134</v>
      </c>
      <c r="D195" s="550"/>
      <c r="E195" s="530"/>
      <c r="F195" s="530"/>
      <c r="G195" s="530"/>
      <c r="H195" s="702"/>
      <c r="I195" s="513"/>
      <c r="J195" s="514"/>
      <c r="K195" s="514"/>
      <c r="L195" s="514"/>
      <c r="M195" s="514"/>
      <c r="N195" s="514"/>
      <c r="O195" s="514"/>
      <c r="P195" s="514"/>
      <c r="Q195" s="514"/>
      <c r="R195" s="515"/>
      <c r="S195" s="515"/>
      <c r="T195" s="515"/>
      <c r="U195" s="515"/>
      <c r="V195" s="515"/>
      <c r="W195" s="515"/>
      <c r="X195" s="515"/>
      <c r="Y195" s="515"/>
    </row>
    <row r="196" spans="1:25" ht="15.75" customHeight="1">
      <c r="A196" s="526"/>
      <c r="B196" s="694"/>
      <c r="C196" s="553" t="s">
        <v>47</v>
      </c>
      <c r="D196" s="550"/>
      <c r="E196" s="530"/>
      <c r="F196" s="530"/>
      <c r="G196" s="530"/>
      <c r="H196" s="702"/>
      <c r="I196" s="513"/>
      <c r="J196" s="514"/>
      <c r="K196" s="514"/>
      <c r="L196" s="514"/>
      <c r="M196" s="514"/>
      <c r="N196" s="514"/>
      <c r="O196" s="514"/>
      <c r="P196" s="514"/>
      <c r="Q196" s="514"/>
      <c r="R196" s="515"/>
      <c r="S196" s="515"/>
      <c r="T196" s="515"/>
      <c r="U196" s="515"/>
      <c r="V196" s="515"/>
      <c r="W196" s="515"/>
      <c r="X196" s="515"/>
      <c r="Y196" s="515"/>
    </row>
    <row r="197" spans="1:25" ht="15.75" customHeight="1">
      <c r="A197" s="526"/>
      <c r="B197" s="694"/>
      <c r="C197" s="495" t="s">
        <v>135</v>
      </c>
      <c r="D197" s="550"/>
      <c r="E197" s="530"/>
      <c r="F197" s="530"/>
      <c r="G197" s="530"/>
      <c r="H197" s="702"/>
      <c r="I197" s="513"/>
      <c r="J197" s="514"/>
      <c r="K197" s="514"/>
      <c r="L197" s="514"/>
      <c r="M197" s="514"/>
      <c r="N197" s="514"/>
      <c r="O197" s="514"/>
      <c r="P197" s="514"/>
      <c r="Q197" s="514"/>
      <c r="R197" s="515"/>
      <c r="S197" s="515"/>
      <c r="T197" s="515"/>
      <c r="U197" s="515"/>
      <c r="V197" s="515"/>
      <c r="W197" s="515"/>
      <c r="X197" s="515"/>
      <c r="Y197" s="515"/>
    </row>
    <row r="198" spans="1:25" ht="15.75" customHeight="1">
      <c r="A198" s="526"/>
      <c r="B198" s="694"/>
      <c r="C198" s="495" t="s">
        <v>73</v>
      </c>
      <c r="D198" s="550"/>
      <c r="E198" s="530"/>
      <c r="F198" s="530"/>
      <c r="G198" s="530"/>
      <c r="H198" s="702"/>
      <c r="I198" s="513"/>
      <c r="J198" s="514"/>
      <c r="K198" s="514"/>
      <c r="L198" s="514"/>
      <c r="M198" s="514"/>
      <c r="N198" s="514"/>
      <c r="O198" s="514"/>
      <c r="P198" s="514"/>
      <c r="Q198" s="514"/>
      <c r="R198" s="515"/>
      <c r="S198" s="515"/>
      <c r="T198" s="515"/>
      <c r="U198" s="515"/>
      <c r="V198" s="515"/>
      <c r="W198" s="515"/>
      <c r="X198" s="515"/>
      <c r="Y198" s="515"/>
    </row>
    <row r="199" spans="1:25" ht="15.75" customHeight="1">
      <c r="A199" s="526"/>
      <c r="B199" s="694"/>
      <c r="C199" s="495" t="s">
        <v>136</v>
      </c>
      <c r="D199" s="550"/>
      <c r="E199" s="530"/>
      <c r="F199" s="530"/>
      <c r="G199" s="530"/>
      <c r="H199" s="702"/>
      <c r="I199" s="513"/>
      <c r="J199" s="514"/>
      <c r="K199" s="514"/>
      <c r="L199" s="514"/>
      <c r="M199" s="514"/>
      <c r="N199" s="514"/>
      <c r="O199" s="514"/>
      <c r="P199" s="514"/>
      <c r="Q199" s="514"/>
      <c r="R199" s="515"/>
      <c r="S199" s="515"/>
      <c r="T199" s="515"/>
      <c r="U199" s="515"/>
      <c r="V199" s="515"/>
      <c r="W199" s="515"/>
      <c r="X199" s="515"/>
      <c r="Y199" s="515"/>
    </row>
    <row r="200" spans="1:25" ht="15.75" customHeight="1">
      <c r="A200" s="526"/>
      <c r="B200" s="694"/>
      <c r="C200" s="560" t="s">
        <v>1563</v>
      </c>
      <c r="D200" s="550"/>
      <c r="E200" s="530"/>
      <c r="F200" s="530"/>
      <c r="G200" s="530"/>
      <c r="H200" s="702"/>
      <c r="I200" s="513"/>
      <c r="J200" s="514"/>
      <c r="K200" s="514"/>
      <c r="L200" s="514"/>
      <c r="M200" s="514"/>
      <c r="N200" s="514"/>
      <c r="O200" s="514"/>
      <c r="P200" s="514"/>
      <c r="Q200" s="514"/>
      <c r="R200" s="515"/>
      <c r="S200" s="515"/>
      <c r="T200" s="515"/>
      <c r="U200" s="515"/>
      <c r="V200" s="515"/>
      <c r="W200" s="515"/>
      <c r="X200" s="515"/>
      <c r="Y200" s="515"/>
    </row>
    <row r="201" spans="1:25" ht="15" customHeight="1">
      <c r="A201" s="526"/>
      <c r="B201" s="694"/>
      <c r="C201" s="495" t="s">
        <v>1562</v>
      </c>
      <c r="D201" s="550"/>
      <c r="E201" s="530"/>
      <c r="F201" s="530"/>
      <c r="G201" s="530"/>
      <c r="H201" s="702"/>
      <c r="I201" s="513"/>
      <c r="J201" s="514"/>
      <c r="K201" s="514"/>
      <c r="L201" s="514"/>
      <c r="M201" s="514"/>
      <c r="N201" s="514"/>
      <c r="O201" s="514"/>
      <c r="P201" s="514"/>
      <c r="Q201" s="514"/>
      <c r="R201" s="515"/>
      <c r="S201" s="515"/>
      <c r="T201" s="515"/>
      <c r="U201" s="515"/>
      <c r="V201" s="515"/>
      <c r="W201" s="515"/>
      <c r="X201" s="515"/>
      <c r="Y201" s="515"/>
    </row>
    <row r="202" spans="1:25" ht="15.75" customHeight="1">
      <c r="A202" s="526"/>
      <c r="B202" s="694"/>
      <c r="C202" s="560" t="s">
        <v>137</v>
      </c>
      <c r="D202" s="550"/>
      <c r="E202" s="530"/>
      <c r="F202" s="530"/>
      <c r="G202" s="530"/>
      <c r="H202" s="702"/>
      <c r="I202" s="513"/>
      <c r="J202" s="514"/>
      <c r="K202" s="514"/>
      <c r="L202" s="514"/>
      <c r="M202" s="514"/>
      <c r="N202" s="514"/>
      <c r="O202" s="514"/>
      <c r="P202" s="514"/>
      <c r="Q202" s="514"/>
      <c r="R202" s="515"/>
      <c r="S202" s="515"/>
      <c r="T202" s="515"/>
      <c r="U202" s="515"/>
      <c r="V202" s="515"/>
      <c r="W202" s="515"/>
      <c r="X202" s="515"/>
      <c r="Y202" s="515"/>
    </row>
    <row r="203" spans="1:25" ht="15.75" customHeight="1">
      <c r="A203" s="526"/>
      <c r="B203" s="694"/>
      <c r="C203" s="495" t="s">
        <v>138</v>
      </c>
      <c r="D203" s="550"/>
      <c r="E203" s="530"/>
      <c r="F203" s="530"/>
      <c r="G203" s="530"/>
      <c r="H203" s="702"/>
      <c r="I203" s="513"/>
      <c r="J203" s="514"/>
      <c r="K203" s="514"/>
      <c r="L203" s="514"/>
      <c r="M203" s="514"/>
      <c r="N203" s="514"/>
      <c r="O203" s="514"/>
      <c r="P203" s="514"/>
      <c r="Q203" s="514"/>
      <c r="R203" s="515"/>
      <c r="S203" s="515"/>
      <c r="T203" s="515"/>
      <c r="U203" s="515"/>
      <c r="V203" s="515"/>
      <c r="W203" s="515"/>
      <c r="X203" s="515"/>
      <c r="Y203" s="515"/>
    </row>
    <row r="204" spans="1:25" ht="15.75" customHeight="1">
      <c r="A204" s="526"/>
      <c r="B204" s="694"/>
      <c r="C204" s="528" t="s">
        <v>139</v>
      </c>
      <c r="D204" s="550"/>
      <c r="E204" s="530"/>
      <c r="F204" s="530"/>
      <c r="G204" s="530"/>
      <c r="H204" s="702"/>
      <c r="I204" s="513"/>
      <c r="J204" s="514"/>
      <c r="K204" s="514"/>
      <c r="L204" s="514"/>
      <c r="M204" s="514"/>
      <c r="N204" s="514"/>
      <c r="O204" s="514"/>
      <c r="P204" s="514"/>
      <c r="Q204" s="514"/>
      <c r="R204" s="515"/>
      <c r="S204" s="515"/>
      <c r="T204" s="515"/>
      <c r="U204" s="515"/>
      <c r="V204" s="515"/>
      <c r="W204" s="515"/>
      <c r="X204" s="515"/>
      <c r="Y204" s="515"/>
    </row>
    <row r="205" spans="1:25" ht="26">
      <c r="A205" s="526"/>
      <c r="B205" s="533" t="s">
        <v>140</v>
      </c>
      <c r="C205" s="554" t="s">
        <v>1581</v>
      </c>
      <c r="D205" s="551"/>
      <c r="E205" s="535"/>
      <c r="F205" s="535"/>
      <c r="G205" s="535"/>
      <c r="H205" s="535"/>
      <c r="I205" s="513"/>
      <c r="J205" s="514"/>
      <c r="K205" s="514"/>
      <c r="L205" s="514"/>
      <c r="M205" s="514"/>
      <c r="N205" s="514"/>
      <c r="O205" s="514"/>
      <c r="P205" s="514"/>
      <c r="Q205" s="514"/>
      <c r="R205" s="515"/>
      <c r="S205" s="515"/>
      <c r="T205" s="515"/>
      <c r="U205" s="515"/>
      <c r="V205" s="515"/>
      <c r="W205" s="515"/>
      <c r="X205" s="515"/>
      <c r="Y205" s="515"/>
    </row>
    <row r="206" spans="1:25" ht="12" customHeight="1">
      <c r="A206" s="526"/>
      <c r="B206" s="700" t="s">
        <v>141</v>
      </c>
      <c r="C206" s="537" t="s">
        <v>1570</v>
      </c>
      <c r="D206" s="552"/>
      <c r="E206" s="539"/>
      <c r="F206" s="539" t="s">
        <v>142</v>
      </c>
      <c r="G206" s="539"/>
      <c r="H206" s="705"/>
      <c r="I206" s="513"/>
      <c r="J206" s="514"/>
      <c r="K206" s="514"/>
      <c r="L206" s="514"/>
      <c r="M206" s="514"/>
      <c r="N206" s="514"/>
      <c r="O206" s="514"/>
      <c r="P206" s="514"/>
      <c r="Q206" s="514"/>
      <c r="R206" s="515"/>
      <c r="S206" s="515"/>
      <c r="T206" s="515"/>
      <c r="U206" s="515"/>
      <c r="V206" s="515"/>
      <c r="W206" s="515"/>
      <c r="X206" s="515"/>
      <c r="Y206" s="515"/>
    </row>
    <row r="207" spans="1:25" ht="15.75" customHeight="1">
      <c r="A207" s="526"/>
      <c r="B207" s="698"/>
      <c r="C207" s="527" t="s">
        <v>143</v>
      </c>
      <c r="D207" s="550"/>
      <c r="E207" s="530"/>
      <c r="F207" s="530"/>
      <c r="G207" s="530"/>
      <c r="H207" s="702"/>
      <c r="I207" s="513"/>
      <c r="J207" s="514"/>
      <c r="K207" s="514"/>
      <c r="L207" s="514"/>
      <c r="M207" s="514"/>
      <c r="N207" s="514"/>
      <c r="O207" s="514"/>
      <c r="P207" s="514"/>
      <c r="Q207" s="514"/>
      <c r="R207" s="515"/>
      <c r="S207" s="515"/>
      <c r="T207" s="515"/>
      <c r="U207" s="515"/>
      <c r="V207" s="515"/>
      <c r="W207" s="515"/>
      <c r="X207" s="515"/>
      <c r="Y207" s="515"/>
    </row>
    <row r="208" spans="1:25" ht="15.75" customHeight="1">
      <c r="A208" s="526"/>
      <c r="B208" s="698"/>
      <c r="C208" s="537" t="s">
        <v>57</v>
      </c>
      <c r="D208" s="550"/>
      <c r="E208" s="530"/>
      <c r="F208" s="530"/>
      <c r="G208" s="530"/>
      <c r="H208" s="702"/>
      <c r="I208" s="513"/>
      <c r="J208" s="514"/>
      <c r="K208" s="514"/>
      <c r="L208" s="514"/>
      <c r="M208" s="514"/>
      <c r="N208" s="514"/>
      <c r="O208" s="514"/>
      <c r="P208" s="514"/>
      <c r="Q208" s="514"/>
      <c r="R208" s="515"/>
      <c r="S208" s="515"/>
      <c r="T208" s="515"/>
      <c r="U208" s="515"/>
      <c r="V208" s="515"/>
      <c r="W208" s="515"/>
      <c r="X208" s="515"/>
      <c r="Y208" s="515"/>
    </row>
    <row r="209" spans="1:25" ht="15.75" customHeight="1">
      <c r="A209" s="526"/>
      <c r="B209" s="698"/>
      <c r="C209" s="527" t="s">
        <v>144</v>
      </c>
      <c r="D209" s="550"/>
      <c r="E209" s="530"/>
      <c r="F209" s="530"/>
      <c r="G209" s="530"/>
      <c r="H209" s="702"/>
      <c r="I209" s="513"/>
      <c r="J209" s="514"/>
      <c r="K209" s="514"/>
      <c r="L209" s="514"/>
      <c r="M209" s="514"/>
      <c r="N209" s="514"/>
      <c r="O209" s="514"/>
      <c r="P209" s="514"/>
      <c r="Q209" s="514"/>
      <c r="R209" s="515"/>
      <c r="S209" s="515"/>
      <c r="T209" s="515"/>
      <c r="U209" s="515"/>
      <c r="V209" s="515"/>
      <c r="W209" s="515"/>
      <c r="X209" s="515"/>
      <c r="Y209" s="515"/>
    </row>
    <row r="210" spans="1:25" ht="15.75" customHeight="1">
      <c r="A210" s="526"/>
      <c r="B210" s="698"/>
      <c r="C210" s="537" t="s">
        <v>1576</v>
      </c>
      <c r="D210" s="550"/>
      <c r="E210" s="530"/>
      <c r="F210" s="530"/>
      <c r="G210" s="530"/>
      <c r="H210" s="702"/>
      <c r="I210" s="513"/>
      <c r="J210" s="514"/>
      <c r="K210" s="514"/>
      <c r="L210" s="514"/>
      <c r="M210" s="514"/>
      <c r="N210" s="514"/>
      <c r="O210" s="514"/>
      <c r="P210" s="514"/>
      <c r="Q210" s="514"/>
      <c r="R210" s="515"/>
      <c r="S210" s="515"/>
      <c r="T210" s="515"/>
      <c r="U210" s="515"/>
      <c r="V210" s="515"/>
      <c r="W210" s="515"/>
      <c r="X210" s="515"/>
      <c r="Y210" s="515"/>
    </row>
    <row r="211" spans="1:25" ht="15.75" customHeight="1">
      <c r="A211" s="526"/>
      <c r="B211" s="698"/>
      <c r="C211" s="527" t="s">
        <v>145</v>
      </c>
      <c r="D211" s="550"/>
      <c r="E211" s="530"/>
      <c r="F211" s="530"/>
      <c r="G211" s="530"/>
      <c r="H211" s="702"/>
      <c r="I211" s="513"/>
      <c r="J211" s="514"/>
      <c r="K211" s="514"/>
      <c r="L211" s="514"/>
      <c r="M211" s="514"/>
      <c r="N211" s="514"/>
      <c r="O211" s="514"/>
      <c r="P211" s="514"/>
      <c r="Q211" s="514"/>
      <c r="R211" s="515"/>
      <c r="S211" s="515"/>
      <c r="T211" s="515"/>
      <c r="U211" s="515"/>
      <c r="V211" s="515"/>
      <c r="W211" s="515"/>
      <c r="X211" s="515"/>
      <c r="Y211" s="515"/>
    </row>
    <row r="212" spans="1:25" ht="15.75" customHeight="1">
      <c r="A212" s="526"/>
      <c r="B212" s="698"/>
      <c r="C212" s="553" t="s">
        <v>47</v>
      </c>
      <c r="D212" s="550"/>
      <c r="E212" s="530"/>
      <c r="F212" s="530"/>
      <c r="G212" s="530"/>
      <c r="H212" s="702"/>
      <c r="I212" s="513"/>
      <c r="J212" s="514"/>
      <c r="K212" s="514"/>
      <c r="L212" s="514"/>
      <c r="M212" s="514"/>
      <c r="N212" s="514"/>
      <c r="O212" s="514"/>
      <c r="P212" s="514"/>
      <c r="Q212" s="514"/>
      <c r="R212" s="515"/>
      <c r="S212" s="515"/>
      <c r="T212" s="515"/>
      <c r="U212" s="515"/>
      <c r="V212" s="515"/>
      <c r="W212" s="515"/>
      <c r="X212" s="515"/>
      <c r="Y212" s="515"/>
    </row>
    <row r="213" spans="1:25" ht="15.75" customHeight="1">
      <c r="A213" s="526"/>
      <c r="B213" s="698"/>
      <c r="C213" s="495" t="s">
        <v>84</v>
      </c>
      <c r="D213" s="550"/>
      <c r="E213" s="530"/>
      <c r="F213" s="530"/>
      <c r="G213" s="530"/>
      <c r="H213" s="702"/>
      <c r="I213" s="513"/>
      <c r="J213" s="514"/>
      <c r="K213" s="514"/>
      <c r="L213" s="514"/>
      <c r="M213" s="514"/>
      <c r="N213" s="514"/>
      <c r="O213" s="514"/>
      <c r="P213" s="514"/>
      <c r="Q213" s="514"/>
      <c r="R213" s="515"/>
      <c r="S213" s="515"/>
      <c r="T213" s="515"/>
      <c r="U213" s="515"/>
      <c r="V213" s="515"/>
      <c r="W213" s="515"/>
      <c r="X213" s="515"/>
      <c r="Y213" s="515"/>
    </row>
    <row r="214" spans="1:25" ht="15.75" customHeight="1">
      <c r="A214" s="526"/>
      <c r="B214" s="699"/>
      <c r="C214" s="554" t="s">
        <v>523</v>
      </c>
      <c r="D214" s="551"/>
      <c r="E214" s="535"/>
      <c r="F214" s="535"/>
      <c r="G214" s="535"/>
      <c r="H214" s="703"/>
      <c r="I214" s="513"/>
      <c r="J214" s="514"/>
      <c r="K214" s="514"/>
      <c r="L214" s="514"/>
      <c r="M214" s="514"/>
      <c r="N214" s="514"/>
      <c r="O214" s="514"/>
      <c r="P214" s="514"/>
      <c r="Q214" s="514"/>
      <c r="R214" s="515"/>
      <c r="S214" s="515"/>
      <c r="T214" s="515"/>
      <c r="U214" s="515"/>
      <c r="V214" s="515"/>
      <c r="W214" s="515"/>
      <c r="X214" s="515"/>
      <c r="Y214" s="515"/>
    </row>
    <row r="215" spans="1:25" ht="15.75" customHeight="1">
      <c r="A215" s="526"/>
      <c r="B215" s="700" t="s">
        <v>146</v>
      </c>
      <c r="C215" s="537" t="s">
        <v>1570</v>
      </c>
      <c r="D215" s="552"/>
      <c r="E215" s="539"/>
      <c r="F215" s="540">
        <v>10</v>
      </c>
      <c r="G215" s="539"/>
      <c r="H215" s="705"/>
      <c r="I215" s="513"/>
      <c r="J215" s="514"/>
      <c r="K215" s="514"/>
      <c r="L215" s="514"/>
      <c r="M215" s="514"/>
      <c r="N215" s="514"/>
      <c r="O215" s="514"/>
      <c r="P215" s="514"/>
      <c r="Q215" s="514"/>
      <c r="R215" s="515"/>
      <c r="S215" s="515"/>
      <c r="T215" s="515"/>
      <c r="U215" s="515"/>
      <c r="V215" s="515"/>
      <c r="W215" s="515"/>
      <c r="X215" s="515"/>
      <c r="Y215" s="515"/>
    </row>
    <row r="216" spans="1:25" ht="136" customHeight="1">
      <c r="A216" s="526"/>
      <c r="B216" s="698"/>
      <c r="C216" s="527" t="s">
        <v>147</v>
      </c>
      <c r="D216" s="550"/>
      <c r="E216" s="530"/>
      <c r="F216" s="530"/>
      <c r="G216" s="530"/>
      <c r="H216" s="702"/>
      <c r="I216" s="513"/>
      <c r="J216" s="514"/>
      <c r="K216" s="514"/>
      <c r="L216" s="514"/>
      <c r="M216" s="514"/>
      <c r="N216" s="514"/>
      <c r="O216" s="514"/>
      <c r="P216" s="514"/>
      <c r="Q216" s="514"/>
      <c r="R216" s="515"/>
      <c r="S216" s="515"/>
      <c r="T216" s="515"/>
      <c r="U216" s="515"/>
      <c r="V216" s="515"/>
      <c r="W216" s="515"/>
      <c r="X216" s="515"/>
      <c r="Y216" s="515"/>
    </row>
    <row r="217" spans="1:25" ht="15.75" customHeight="1">
      <c r="A217" s="526"/>
      <c r="B217" s="698"/>
      <c r="C217" s="537" t="s">
        <v>38</v>
      </c>
      <c r="D217" s="550"/>
      <c r="E217" s="530"/>
      <c r="F217" s="530"/>
      <c r="G217" s="530"/>
      <c r="H217" s="702"/>
      <c r="I217" s="513"/>
      <c r="J217" s="514"/>
      <c r="K217" s="514"/>
      <c r="L217" s="514"/>
      <c r="M217" s="514"/>
      <c r="N217" s="514"/>
      <c r="O217" s="514"/>
      <c r="P217" s="514"/>
      <c r="Q217" s="514"/>
      <c r="R217" s="515"/>
      <c r="S217" s="515"/>
      <c r="T217" s="515"/>
      <c r="U217" s="515"/>
      <c r="V217" s="515"/>
      <c r="W217" s="515"/>
      <c r="X217" s="515"/>
      <c r="Y217" s="515"/>
    </row>
    <row r="218" spans="1:25" ht="15.75" customHeight="1">
      <c r="A218" s="526"/>
      <c r="B218" s="698"/>
      <c r="C218" s="527" t="s">
        <v>148</v>
      </c>
      <c r="D218" s="550"/>
      <c r="E218" s="530"/>
      <c r="F218" s="530"/>
      <c r="G218" s="530"/>
      <c r="H218" s="702"/>
      <c r="I218" s="513"/>
      <c r="J218" s="514"/>
      <c r="K218" s="514"/>
      <c r="L218" s="514"/>
      <c r="M218" s="514"/>
      <c r="N218" s="514"/>
      <c r="O218" s="514"/>
      <c r="P218" s="514"/>
      <c r="Q218" s="514"/>
      <c r="R218" s="515"/>
      <c r="S218" s="515"/>
      <c r="T218" s="515"/>
      <c r="U218" s="515"/>
      <c r="V218" s="515"/>
      <c r="W218" s="515"/>
      <c r="X218" s="515"/>
      <c r="Y218" s="515"/>
    </row>
    <row r="219" spans="1:25" ht="15.75" customHeight="1">
      <c r="A219" s="526"/>
      <c r="B219" s="698"/>
      <c r="C219" s="553" t="s">
        <v>47</v>
      </c>
      <c r="D219" s="550"/>
      <c r="E219" s="530"/>
      <c r="F219" s="530"/>
      <c r="G219" s="530"/>
      <c r="H219" s="702"/>
      <c r="I219" s="513"/>
      <c r="J219" s="514"/>
      <c r="K219" s="514"/>
      <c r="L219" s="514"/>
      <c r="M219" s="514"/>
      <c r="N219" s="514"/>
      <c r="O219" s="514"/>
      <c r="P219" s="514"/>
      <c r="Q219" s="514"/>
      <c r="R219" s="515"/>
      <c r="S219" s="515"/>
      <c r="T219" s="515"/>
      <c r="U219" s="515"/>
      <c r="V219" s="515"/>
      <c r="W219" s="515"/>
      <c r="X219" s="515"/>
      <c r="Y219" s="515"/>
    </row>
    <row r="220" spans="1:25" ht="15.75" customHeight="1">
      <c r="A220" s="526"/>
      <c r="B220" s="698"/>
      <c r="C220" s="528" t="s">
        <v>483</v>
      </c>
      <c r="D220" s="550"/>
      <c r="E220" s="530"/>
      <c r="F220" s="530"/>
      <c r="G220" s="530"/>
      <c r="H220" s="702"/>
      <c r="I220" s="513"/>
      <c r="J220" s="514"/>
      <c r="K220" s="514"/>
      <c r="L220" s="514"/>
      <c r="M220" s="514"/>
      <c r="N220" s="514"/>
      <c r="O220" s="514"/>
      <c r="P220" s="514"/>
      <c r="Q220" s="514"/>
      <c r="R220" s="515"/>
      <c r="S220" s="515"/>
      <c r="T220" s="515"/>
      <c r="U220" s="515"/>
      <c r="V220" s="515"/>
      <c r="W220" s="515"/>
      <c r="X220" s="515"/>
      <c r="Y220" s="515"/>
    </row>
    <row r="221" spans="1:25" ht="15.75" customHeight="1">
      <c r="A221" s="526"/>
      <c r="B221" s="698"/>
      <c r="C221" s="495" t="s">
        <v>128</v>
      </c>
      <c r="D221" s="550"/>
      <c r="E221" s="530"/>
      <c r="F221" s="530"/>
      <c r="G221" s="530"/>
      <c r="H221" s="702"/>
      <c r="I221" s="513"/>
      <c r="J221" s="514"/>
      <c r="K221" s="514"/>
      <c r="L221" s="514"/>
      <c r="M221" s="514"/>
      <c r="N221" s="514"/>
      <c r="O221" s="514"/>
      <c r="P221" s="514"/>
      <c r="Q221" s="514"/>
      <c r="R221" s="515"/>
      <c r="S221" s="515"/>
      <c r="T221" s="515"/>
      <c r="U221" s="515"/>
      <c r="V221" s="515"/>
      <c r="W221" s="515"/>
      <c r="X221" s="515"/>
      <c r="Y221" s="515"/>
    </row>
    <row r="222" spans="1:25">
      <c r="A222" s="526"/>
      <c r="B222" s="699"/>
      <c r="C222" s="507" t="s">
        <v>1596</v>
      </c>
      <c r="D222" s="551"/>
      <c r="E222" s="535"/>
      <c r="F222" s="535"/>
      <c r="G222" s="535"/>
      <c r="H222" s="703"/>
      <c r="I222" s="513"/>
      <c r="J222" s="514"/>
      <c r="K222" s="514"/>
      <c r="L222" s="514"/>
      <c r="M222" s="514"/>
      <c r="N222" s="514"/>
      <c r="O222" s="514"/>
      <c r="P222" s="514"/>
      <c r="Q222" s="514"/>
      <c r="R222" s="515"/>
      <c r="S222" s="515"/>
      <c r="T222" s="515"/>
      <c r="U222" s="515"/>
      <c r="V222" s="515"/>
      <c r="W222" s="515"/>
      <c r="X222" s="515"/>
      <c r="Y222" s="515"/>
    </row>
    <row r="223" spans="1:25" ht="15.75" customHeight="1">
      <c r="A223" s="526"/>
      <c r="B223" s="698" t="s">
        <v>149</v>
      </c>
      <c r="C223" s="537" t="s">
        <v>1570</v>
      </c>
      <c r="D223" s="550"/>
      <c r="E223" s="530" t="s">
        <v>150</v>
      </c>
      <c r="F223" s="541">
        <v>3</v>
      </c>
      <c r="G223" s="530" t="s">
        <v>151</v>
      </c>
      <c r="H223" s="548"/>
      <c r="I223" s="513"/>
      <c r="J223" s="514"/>
      <c r="K223" s="514"/>
      <c r="L223" s="514"/>
      <c r="M223" s="514"/>
      <c r="N223" s="514"/>
      <c r="O223" s="514"/>
      <c r="P223" s="514"/>
      <c r="Q223" s="514"/>
      <c r="R223" s="515"/>
      <c r="S223" s="515"/>
      <c r="T223" s="515"/>
      <c r="U223" s="515"/>
      <c r="V223" s="515"/>
      <c r="W223" s="515"/>
      <c r="X223" s="515"/>
      <c r="Y223" s="515"/>
    </row>
    <row r="224" spans="1:25" ht="26.75" customHeight="1">
      <c r="A224" s="526"/>
      <c r="B224" s="698"/>
      <c r="C224" s="527" t="s">
        <v>152</v>
      </c>
      <c r="D224" s="564"/>
      <c r="E224" s="530"/>
      <c r="F224" s="530"/>
      <c r="G224" s="530"/>
      <c r="H224" s="548"/>
      <c r="I224" s="513"/>
      <c r="J224" s="514"/>
      <c r="K224" s="514"/>
      <c r="L224" s="514"/>
      <c r="M224" s="514"/>
      <c r="N224" s="514"/>
      <c r="O224" s="514"/>
      <c r="P224" s="514"/>
      <c r="Q224" s="514"/>
      <c r="R224" s="515"/>
      <c r="S224" s="515"/>
      <c r="T224" s="515"/>
      <c r="U224" s="515"/>
      <c r="V224" s="515"/>
      <c r="W224" s="515"/>
      <c r="X224" s="515"/>
      <c r="Y224" s="515"/>
    </row>
    <row r="225" spans="1:25" ht="15.75" customHeight="1">
      <c r="A225" s="526"/>
      <c r="B225" s="698"/>
      <c r="C225" s="537" t="s">
        <v>38</v>
      </c>
      <c r="D225" s="565"/>
      <c r="E225" s="530"/>
      <c r="F225" s="530"/>
      <c r="G225" s="530"/>
      <c r="H225" s="548"/>
      <c r="I225" s="513"/>
      <c r="J225" s="514"/>
      <c r="K225" s="514"/>
      <c r="L225" s="514"/>
      <c r="M225" s="514"/>
      <c r="N225" s="514"/>
      <c r="O225" s="514"/>
      <c r="P225" s="514"/>
      <c r="Q225" s="514"/>
      <c r="R225" s="515"/>
      <c r="S225" s="515"/>
      <c r="T225" s="515"/>
      <c r="U225" s="515"/>
      <c r="V225" s="515"/>
      <c r="W225" s="515"/>
      <c r="X225" s="515"/>
      <c r="Y225" s="515"/>
    </row>
    <row r="226" spans="1:25" ht="15.75" customHeight="1">
      <c r="A226" s="526"/>
      <c r="B226" s="698"/>
      <c r="C226" s="527" t="s">
        <v>153</v>
      </c>
      <c r="D226" s="565"/>
      <c r="E226" s="530"/>
      <c r="F226" s="530"/>
      <c r="G226" s="530"/>
      <c r="H226" s="548"/>
      <c r="I226" s="513"/>
      <c r="J226" s="514"/>
      <c r="K226" s="514"/>
      <c r="L226" s="514"/>
      <c r="M226" s="514"/>
      <c r="N226" s="514"/>
      <c r="O226" s="514"/>
      <c r="P226" s="514"/>
      <c r="Q226" s="514"/>
      <c r="R226" s="515"/>
      <c r="S226" s="515"/>
      <c r="T226" s="515"/>
      <c r="U226" s="515"/>
      <c r="V226" s="515"/>
      <c r="W226" s="515"/>
      <c r="X226" s="515"/>
      <c r="Y226" s="515"/>
    </row>
    <row r="227" spans="1:25" ht="15.75" customHeight="1">
      <c r="A227" s="526"/>
      <c r="B227" s="698"/>
      <c r="C227" s="553" t="s">
        <v>47</v>
      </c>
      <c r="D227" s="565"/>
      <c r="E227" s="530"/>
      <c r="F227" s="530"/>
      <c r="G227" s="530"/>
      <c r="H227" s="548"/>
      <c r="I227" s="513"/>
      <c r="J227" s="514"/>
      <c r="K227" s="514"/>
      <c r="L227" s="514"/>
      <c r="M227" s="514"/>
      <c r="N227" s="514"/>
      <c r="O227" s="514"/>
      <c r="P227" s="514"/>
      <c r="Q227" s="514"/>
      <c r="R227" s="515"/>
      <c r="S227" s="515"/>
      <c r="T227" s="515"/>
      <c r="U227" s="515"/>
      <c r="V227" s="515"/>
      <c r="W227" s="515"/>
      <c r="X227" s="515"/>
      <c r="Y227" s="515"/>
    </row>
    <row r="228" spans="1:25" ht="15.75" customHeight="1">
      <c r="A228" s="526"/>
      <c r="B228" s="698"/>
      <c r="C228" s="492" t="s">
        <v>73</v>
      </c>
      <c r="D228" s="565"/>
      <c r="E228" s="530"/>
      <c r="F228" s="530"/>
      <c r="G228" s="530"/>
      <c r="H228" s="548"/>
      <c r="I228" s="513"/>
      <c r="J228" s="514"/>
      <c r="K228" s="514"/>
      <c r="L228" s="514"/>
      <c r="M228" s="514"/>
      <c r="N228" s="514"/>
      <c r="O228" s="514"/>
      <c r="P228" s="514"/>
      <c r="Q228" s="514"/>
      <c r="R228" s="515"/>
      <c r="S228" s="515"/>
      <c r="T228" s="515"/>
      <c r="U228" s="515"/>
      <c r="V228" s="515"/>
      <c r="W228" s="515"/>
      <c r="X228" s="515"/>
      <c r="Y228" s="515"/>
    </row>
    <row r="229" spans="1:25" ht="15.75" customHeight="1">
      <c r="A229" s="526"/>
      <c r="B229" s="698"/>
      <c r="C229" s="527" t="s">
        <v>1564</v>
      </c>
      <c r="D229" s="565"/>
      <c r="E229" s="530"/>
      <c r="F229" s="530"/>
      <c r="G229" s="530"/>
      <c r="H229" s="548"/>
      <c r="I229" s="513"/>
      <c r="J229" s="514"/>
      <c r="K229" s="514"/>
      <c r="L229" s="514"/>
      <c r="M229" s="514"/>
      <c r="N229" s="514"/>
      <c r="O229" s="514"/>
      <c r="P229" s="514"/>
      <c r="Q229" s="514"/>
      <c r="R229" s="515"/>
      <c r="S229" s="515"/>
      <c r="T229" s="515"/>
      <c r="U229" s="515"/>
      <c r="V229" s="515"/>
      <c r="W229" s="515"/>
      <c r="X229" s="515"/>
      <c r="Y229" s="515"/>
    </row>
    <row r="230" spans="1:25" ht="15.75" customHeight="1">
      <c r="A230" s="526"/>
      <c r="B230" s="698"/>
      <c r="C230" s="528" t="s">
        <v>53</v>
      </c>
      <c r="D230" s="565"/>
      <c r="E230" s="530"/>
      <c r="F230" s="530"/>
      <c r="G230" s="530"/>
      <c r="H230" s="548"/>
      <c r="I230" s="513"/>
      <c r="J230" s="514"/>
      <c r="K230" s="514"/>
      <c r="L230" s="514"/>
      <c r="M230" s="514"/>
      <c r="N230" s="514"/>
      <c r="O230" s="514"/>
      <c r="P230" s="514"/>
      <c r="Q230" s="514"/>
      <c r="R230" s="515"/>
      <c r="S230" s="515"/>
      <c r="T230" s="515"/>
      <c r="U230" s="515"/>
      <c r="V230" s="515"/>
      <c r="W230" s="515"/>
      <c r="X230" s="515"/>
      <c r="Y230" s="515"/>
    </row>
    <row r="231" spans="1:25" ht="15.75" customHeight="1">
      <c r="A231" s="717" t="s">
        <v>154</v>
      </c>
      <c r="B231" s="717"/>
      <c r="C231" s="717"/>
      <c r="D231" s="717"/>
      <c r="E231" s="566"/>
      <c r="F231" s="566"/>
      <c r="G231" s="566"/>
      <c r="H231" s="567"/>
      <c r="I231" s="513"/>
      <c r="J231" s="514"/>
      <c r="K231" s="514"/>
      <c r="L231" s="514"/>
      <c r="M231" s="514"/>
      <c r="N231" s="514"/>
      <c r="O231" s="514"/>
      <c r="P231" s="514"/>
      <c r="Q231" s="514"/>
      <c r="R231" s="515"/>
      <c r="S231" s="515"/>
      <c r="T231" s="515"/>
      <c r="U231" s="515"/>
      <c r="V231" s="515"/>
      <c r="W231" s="515"/>
      <c r="X231" s="515"/>
      <c r="Y231" s="515"/>
    </row>
    <row r="232" spans="1:25" ht="15.75" customHeight="1">
      <c r="A232" s="697" t="s">
        <v>155</v>
      </c>
      <c r="B232" s="519" t="s">
        <v>156</v>
      </c>
      <c r="C232" s="537" t="s">
        <v>26</v>
      </c>
      <c r="D232" s="564"/>
      <c r="E232" s="530"/>
      <c r="F232" s="530"/>
      <c r="G232" s="530"/>
      <c r="H232" s="548"/>
      <c r="I232" s="513"/>
      <c r="J232" s="514"/>
      <c r="K232" s="514"/>
      <c r="L232" s="514"/>
      <c r="M232" s="514"/>
      <c r="N232" s="514"/>
      <c r="O232" s="514"/>
      <c r="P232" s="514"/>
      <c r="Q232" s="514"/>
      <c r="R232" s="515"/>
      <c r="S232" s="515"/>
      <c r="T232" s="515"/>
      <c r="U232" s="515"/>
      <c r="V232" s="515"/>
      <c r="W232" s="515"/>
      <c r="X232" s="515"/>
      <c r="Y232" s="515"/>
    </row>
    <row r="233" spans="1:25" ht="39.25" customHeight="1">
      <c r="A233" s="697"/>
      <c r="B233" s="559"/>
      <c r="C233" s="533" t="s">
        <v>157</v>
      </c>
      <c r="D233" s="568"/>
      <c r="E233" s="535"/>
      <c r="F233" s="535"/>
      <c r="G233" s="535"/>
      <c r="H233" s="549"/>
      <c r="I233" s="513"/>
      <c r="J233" s="514"/>
      <c r="K233" s="514"/>
      <c r="L233" s="514"/>
      <c r="M233" s="514"/>
      <c r="N233" s="514"/>
      <c r="O233" s="514"/>
      <c r="P233" s="514"/>
      <c r="Q233" s="514"/>
      <c r="R233" s="515"/>
      <c r="S233" s="515"/>
      <c r="T233" s="515"/>
      <c r="U233" s="515"/>
      <c r="V233" s="515"/>
      <c r="W233" s="515"/>
      <c r="X233" s="515"/>
      <c r="Y233" s="515"/>
    </row>
    <row r="234" spans="1:25" ht="15.75" customHeight="1">
      <c r="A234" s="697"/>
      <c r="B234" s="519" t="s">
        <v>158</v>
      </c>
      <c r="C234" s="537" t="s">
        <v>1570</v>
      </c>
      <c r="D234" s="564"/>
      <c r="E234" s="530"/>
      <c r="F234" s="530"/>
      <c r="G234" s="530"/>
      <c r="H234" s="530"/>
      <c r="I234" s="513"/>
      <c r="J234" s="514"/>
      <c r="K234" s="514"/>
      <c r="L234" s="514"/>
      <c r="M234" s="514"/>
      <c r="N234" s="514"/>
      <c r="O234" s="514"/>
      <c r="P234" s="514"/>
      <c r="Q234" s="514"/>
      <c r="R234" s="515"/>
      <c r="S234" s="515"/>
      <c r="T234" s="515"/>
      <c r="U234" s="515"/>
      <c r="V234" s="515"/>
      <c r="W234" s="515"/>
      <c r="X234" s="515"/>
      <c r="Y234" s="515"/>
    </row>
    <row r="235" spans="1:25" ht="15.75" customHeight="1">
      <c r="A235" s="526"/>
      <c r="B235" s="519"/>
      <c r="C235" s="527" t="s">
        <v>159</v>
      </c>
      <c r="D235" s="564"/>
      <c r="E235" s="530"/>
      <c r="F235" s="530"/>
      <c r="G235" s="530"/>
      <c r="H235" s="530"/>
      <c r="I235" s="513"/>
      <c r="J235" s="514"/>
      <c r="K235" s="514"/>
      <c r="L235" s="514"/>
      <c r="M235" s="514"/>
      <c r="N235" s="514"/>
      <c r="O235" s="514"/>
      <c r="P235" s="514"/>
      <c r="Q235" s="514"/>
      <c r="R235" s="515"/>
      <c r="S235" s="515"/>
      <c r="T235" s="515"/>
      <c r="U235" s="515"/>
      <c r="V235" s="515"/>
      <c r="W235" s="515"/>
      <c r="X235" s="515"/>
      <c r="Y235" s="515"/>
    </row>
    <row r="236" spans="1:25" ht="15.75" customHeight="1">
      <c r="A236" s="717" t="s">
        <v>160</v>
      </c>
      <c r="B236" s="717"/>
      <c r="C236" s="717"/>
      <c r="D236" s="717"/>
      <c r="E236" s="719"/>
      <c r="F236" s="719"/>
      <c r="G236" s="719"/>
      <c r="H236" s="719"/>
      <c r="I236" s="513"/>
      <c r="J236" s="514"/>
      <c r="K236" s="514"/>
      <c r="L236" s="514"/>
      <c r="M236" s="514"/>
      <c r="N236" s="514"/>
      <c r="O236" s="514"/>
      <c r="P236" s="514"/>
      <c r="Q236" s="514"/>
      <c r="R236" s="515"/>
      <c r="S236" s="515"/>
      <c r="T236" s="515"/>
      <c r="U236" s="515"/>
      <c r="V236" s="515"/>
      <c r="W236" s="515"/>
      <c r="X236" s="515"/>
      <c r="Y236" s="515"/>
    </row>
    <row r="237" spans="1:25" ht="15.75" customHeight="1">
      <c r="A237" s="697" t="s">
        <v>155</v>
      </c>
      <c r="B237" s="694" t="s">
        <v>161</v>
      </c>
      <c r="C237" s="537" t="s">
        <v>26</v>
      </c>
      <c r="D237" s="564"/>
      <c r="E237" s="530" t="s">
        <v>162</v>
      </c>
      <c r="F237" s="530" t="s">
        <v>163</v>
      </c>
      <c r="G237" s="530"/>
      <c r="H237" s="530"/>
      <c r="I237" s="513"/>
      <c r="J237" s="514"/>
      <c r="K237" s="514"/>
      <c r="L237" s="514"/>
      <c r="M237" s="514"/>
      <c r="N237" s="514"/>
      <c r="O237" s="514"/>
      <c r="P237" s="514"/>
      <c r="Q237" s="514"/>
      <c r="R237" s="515"/>
      <c r="S237" s="515"/>
      <c r="T237" s="515"/>
      <c r="U237" s="515"/>
      <c r="V237" s="515"/>
      <c r="W237" s="515"/>
      <c r="X237" s="515"/>
      <c r="Y237" s="515"/>
    </row>
    <row r="238" spans="1:25" ht="73.25" customHeight="1">
      <c r="A238" s="697"/>
      <c r="B238" s="694"/>
      <c r="C238" s="527" t="s">
        <v>164</v>
      </c>
      <c r="D238" s="564"/>
      <c r="E238" s="530"/>
      <c r="F238" s="530"/>
      <c r="G238" s="530"/>
      <c r="H238" s="530"/>
      <c r="I238" s="513"/>
      <c r="J238" s="514"/>
      <c r="K238" s="514"/>
      <c r="L238" s="514"/>
      <c r="M238" s="514"/>
      <c r="N238" s="514"/>
      <c r="O238" s="514"/>
      <c r="P238" s="514"/>
      <c r="Q238" s="514"/>
      <c r="R238" s="515"/>
      <c r="S238" s="515"/>
      <c r="T238" s="515"/>
      <c r="U238" s="515"/>
      <c r="V238" s="515"/>
      <c r="W238" s="515"/>
      <c r="X238" s="515"/>
      <c r="Y238" s="515"/>
    </row>
    <row r="239" spans="1:25" ht="15.75" customHeight="1">
      <c r="A239" s="697"/>
      <c r="B239" s="694"/>
      <c r="C239" s="537" t="s">
        <v>38</v>
      </c>
      <c r="D239" s="564"/>
      <c r="E239" s="530"/>
      <c r="F239" s="530"/>
      <c r="G239" s="530"/>
      <c r="H239" s="530"/>
      <c r="I239" s="513"/>
      <c r="J239" s="514"/>
      <c r="K239" s="514"/>
      <c r="L239" s="514"/>
      <c r="M239" s="514"/>
      <c r="N239" s="514"/>
      <c r="O239" s="514"/>
      <c r="P239" s="514"/>
      <c r="Q239" s="514"/>
      <c r="R239" s="515"/>
      <c r="S239" s="515"/>
      <c r="T239" s="515"/>
      <c r="U239" s="515"/>
      <c r="V239" s="515"/>
      <c r="W239" s="515"/>
      <c r="X239" s="515"/>
      <c r="Y239" s="515"/>
    </row>
    <row r="240" spans="1:25" ht="26.75" customHeight="1">
      <c r="A240" s="697"/>
      <c r="B240" s="694"/>
      <c r="C240" s="527" t="s">
        <v>165</v>
      </c>
      <c r="D240" s="564"/>
      <c r="E240" s="530"/>
      <c r="F240" s="530"/>
      <c r="G240" s="530"/>
      <c r="H240" s="530"/>
      <c r="I240" s="513"/>
      <c r="J240" s="514"/>
      <c r="K240" s="514"/>
      <c r="L240" s="514"/>
      <c r="M240" s="514"/>
      <c r="N240" s="514"/>
      <c r="O240" s="514"/>
      <c r="P240" s="514"/>
      <c r="Q240" s="514"/>
      <c r="R240" s="515"/>
      <c r="S240" s="515"/>
      <c r="T240" s="515"/>
      <c r="U240" s="515"/>
      <c r="V240" s="515"/>
      <c r="W240" s="515"/>
      <c r="X240" s="515"/>
      <c r="Y240" s="515"/>
    </row>
    <row r="241" spans="1:25" ht="15.75" customHeight="1">
      <c r="A241" s="697"/>
      <c r="B241" s="694"/>
      <c r="C241" s="553" t="s">
        <v>47</v>
      </c>
      <c r="D241" s="564"/>
      <c r="E241" s="530"/>
      <c r="F241" s="530"/>
      <c r="G241" s="530"/>
      <c r="H241" s="530"/>
      <c r="I241" s="513"/>
      <c r="J241" s="514"/>
      <c r="K241" s="514"/>
      <c r="L241" s="514"/>
      <c r="M241" s="514"/>
      <c r="N241" s="514"/>
      <c r="O241" s="514"/>
      <c r="P241" s="514"/>
      <c r="Q241" s="514"/>
      <c r="R241" s="515"/>
      <c r="S241" s="515"/>
      <c r="T241" s="515"/>
      <c r="U241" s="515"/>
      <c r="V241" s="515"/>
      <c r="W241" s="515"/>
      <c r="X241" s="515"/>
      <c r="Y241" s="515"/>
    </row>
    <row r="242" spans="1:25" ht="15.75" customHeight="1">
      <c r="A242" s="697"/>
      <c r="B242" s="694"/>
      <c r="C242" s="495" t="s">
        <v>73</v>
      </c>
      <c r="D242" s="564"/>
      <c r="E242" s="530"/>
      <c r="F242" s="530"/>
      <c r="G242" s="530"/>
      <c r="H242" s="530"/>
      <c r="I242" s="513"/>
      <c r="J242" s="514"/>
      <c r="K242" s="514"/>
      <c r="L242" s="514"/>
      <c r="M242" s="514"/>
      <c r="N242" s="514"/>
      <c r="O242" s="514"/>
      <c r="P242" s="514"/>
      <c r="Q242" s="514"/>
      <c r="R242" s="515"/>
      <c r="S242" s="515"/>
      <c r="T242" s="515"/>
      <c r="U242" s="515"/>
      <c r="V242" s="515"/>
      <c r="W242" s="515"/>
      <c r="X242" s="515"/>
      <c r="Y242" s="515"/>
    </row>
    <row r="243" spans="1:25" ht="15.75" customHeight="1">
      <c r="A243" s="697"/>
      <c r="B243" s="694"/>
      <c r="C243" s="527" t="s">
        <v>166</v>
      </c>
      <c r="D243" s="564"/>
      <c r="E243" s="530"/>
      <c r="F243" s="530"/>
      <c r="G243" s="530"/>
      <c r="H243" s="530"/>
      <c r="I243" s="513"/>
      <c r="J243" s="514"/>
      <c r="K243" s="514"/>
      <c r="L243" s="514"/>
      <c r="M243" s="514"/>
      <c r="N243" s="514"/>
      <c r="O243" s="514"/>
      <c r="P243" s="514"/>
      <c r="Q243" s="514"/>
      <c r="R243" s="515"/>
      <c r="S243" s="515"/>
      <c r="T243" s="515"/>
      <c r="U243" s="515"/>
      <c r="V243" s="515"/>
      <c r="W243" s="515"/>
      <c r="X243" s="515"/>
      <c r="Y243" s="515"/>
    </row>
    <row r="244" spans="1:25" ht="15.75" customHeight="1">
      <c r="A244" s="697"/>
      <c r="B244" s="694"/>
      <c r="C244" s="495" t="s">
        <v>167</v>
      </c>
      <c r="D244" s="564"/>
      <c r="E244" s="530"/>
      <c r="F244" s="530"/>
      <c r="G244" s="530"/>
      <c r="H244" s="530"/>
      <c r="I244" s="513"/>
      <c r="J244" s="514"/>
      <c r="K244" s="514"/>
      <c r="L244" s="514"/>
      <c r="M244" s="514"/>
      <c r="N244" s="514"/>
      <c r="O244" s="514"/>
      <c r="P244" s="514"/>
      <c r="Q244" s="514"/>
      <c r="R244" s="515"/>
      <c r="S244" s="515"/>
      <c r="T244" s="515"/>
      <c r="U244" s="515"/>
      <c r="V244" s="515"/>
      <c r="W244" s="515"/>
      <c r="X244" s="515"/>
      <c r="Y244" s="515"/>
    </row>
    <row r="245" spans="1:25" ht="15.75" customHeight="1">
      <c r="A245" s="697"/>
      <c r="B245" s="694"/>
      <c r="C245" s="495" t="s">
        <v>135</v>
      </c>
      <c r="D245" s="564"/>
      <c r="E245" s="530"/>
      <c r="F245" s="530"/>
      <c r="G245" s="530"/>
      <c r="H245" s="530"/>
      <c r="I245" s="513"/>
      <c r="J245" s="514"/>
      <c r="K245" s="514"/>
      <c r="L245" s="514"/>
      <c r="M245" s="514"/>
      <c r="N245" s="514"/>
      <c r="O245" s="514"/>
      <c r="P245" s="514"/>
      <c r="Q245" s="514"/>
      <c r="R245" s="515"/>
      <c r="S245" s="515"/>
      <c r="T245" s="515"/>
      <c r="U245" s="515"/>
      <c r="V245" s="515"/>
      <c r="W245" s="515"/>
      <c r="X245" s="515"/>
      <c r="Y245" s="515"/>
    </row>
    <row r="246" spans="1:25" ht="15.75" customHeight="1">
      <c r="A246" s="697"/>
      <c r="B246" s="694"/>
      <c r="C246" s="495" t="s">
        <v>96</v>
      </c>
      <c r="D246" s="564"/>
      <c r="E246" s="530"/>
      <c r="F246" s="530"/>
      <c r="G246" s="530"/>
      <c r="H246" s="530"/>
      <c r="I246" s="513"/>
      <c r="J246" s="514"/>
      <c r="K246" s="514"/>
      <c r="L246" s="514"/>
      <c r="M246" s="514"/>
      <c r="N246" s="514"/>
      <c r="O246" s="514"/>
      <c r="P246" s="514"/>
      <c r="Q246" s="514"/>
      <c r="R246" s="515"/>
      <c r="S246" s="515"/>
      <c r="T246" s="515"/>
      <c r="U246" s="515"/>
      <c r="V246" s="515"/>
      <c r="W246" s="515"/>
      <c r="X246" s="515"/>
      <c r="Y246" s="515"/>
    </row>
    <row r="247" spans="1:25" ht="15.75" customHeight="1">
      <c r="A247" s="697"/>
      <c r="B247" s="694"/>
      <c r="C247" s="495" t="s">
        <v>128</v>
      </c>
      <c r="D247" s="564"/>
      <c r="E247" s="530"/>
      <c r="F247" s="530"/>
      <c r="G247" s="530"/>
      <c r="H247" s="530"/>
      <c r="I247" s="513"/>
      <c r="J247" s="514"/>
      <c r="K247" s="514"/>
      <c r="L247" s="514"/>
      <c r="M247" s="514"/>
      <c r="N247" s="514"/>
      <c r="O247" s="514"/>
      <c r="P247" s="514"/>
      <c r="Q247" s="514"/>
      <c r="R247" s="515"/>
      <c r="S247" s="515"/>
      <c r="T247" s="515"/>
      <c r="U247" s="515"/>
      <c r="V247" s="515"/>
      <c r="W247" s="515"/>
      <c r="X247" s="515"/>
      <c r="Y247" s="515"/>
    </row>
    <row r="248" spans="1:25">
      <c r="A248" s="718"/>
      <c r="B248" s="714"/>
      <c r="C248" s="495" t="s">
        <v>1601</v>
      </c>
      <c r="D248" s="568"/>
      <c r="E248" s="535"/>
      <c r="F248" s="535"/>
      <c r="G248" s="535"/>
      <c r="H248" s="535"/>
      <c r="I248" s="513"/>
      <c r="J248" s="514"/>
      <c r="K248" s="514"/>
      <c r="L248" s="514"/>
      <c r="M248" s="514"/>
      <c r="N248" s="514"/>
      <c r="O248" s="514"/>
      <c r="P248" s="514"/>
      <c r="Q248" s="514"/>
      <c r="R248" s="515"/>
      <c r="S248" s="515"/>
      <c r="T248" s="515"/>
      <c r="U248" s="515"/>
      <c r="V248" s="515"/>
      <c r="W248" s="515"/>
      <c r="X248" s="515"/>
      <c r="Y248" s="515"/>
    </row>
    <row r="249" spans="1:25" ht="15.75" customHeight="1">
      <c r="A249" s="697" t="s">
        <v>168</v>
      </c>
      <c r="B249" s="700" t="s">
        <v>169</v>
      </c>
      <c r="C249" s="537" t="s">
        <v>26</v>
      </c>
      <c r="D249" s="570"/>
      <c r="E249" s="540">
        <v>6</v>
      </c>
      <c r="F249" s="540">
        <v>10</v>
      </c>
      <c r="G249" s="540">
        <v>9</v>
      </c>
      <c r="H249" s="705"/>
      <c r="I249" s="513"/>
      <c r="J249" s="514"/>
      <c r="K249" s="514"/>
      <c r="L249" s="514"/>
      <c r="M249" s="514"/>
      <c r="N249" s="514"/>
      <c r="O249" s="514"/>
      <c r="P249" s="514"/>
      <c r="Q249" s="514"/>
      <c r="R249" s="515"/>
      <c r="S249" s="515"/>
      <c r="T249" s="515"/>
      <c r="U249" s="515"/>
      <c r="V249" s="515"/>
      <c r="W249" s="515"/>
      <c r="X249" s="515"/>
      <c r="Y249" s="515"/>
    </row>
    <row r="250" spans="1:25" ht="109.25" customHeight="1">
      <c r="A250" s="697"/>
      <c r="B250" s="698"/>
      <c r="C250" s="527" t="s">
        <v>170</v>
      </c>
      <c r="D250" s="564"/>
      <c r="E250" s="530"/>
      <c r="F250" s="530"/>
      <c r="G250" s="530"/>
      <c r="H250" s="702"/>
      <c r="I250" s="513"/>
      <c r="J250" s="514"/>
      <c r="K250" s="514"/>
      <c r="L250" s="514"/>
      <c r="M250" s="514"/>
      <c r="N250" s="514"/>
      <c r="O250" s="514"/>
      <c r="P250" s="514"/>
      <c r="Q250" s="514"/>
      <c r="R250" s="515"/>
      <c r="S250" s="515"/>
      <c r="T250" s="515"/>
      <c r="U250" s="515"/>
      <c r="V250" s="515"/>
      <c r="W250" s="515"/>
      <c r="X250" s="515"/>
      <c r="Y250" s="515"/>
    </row>
    <row r="251" spans="1:25" ht="15.75" customHeight="1">
      <c r="A251" s="697"/>
      <c r="B251" s="698"/>
      <c r="C251" s="537" t="s">
        <v>38</v>
      </c>
      <c r="D251" s="564"/>
      <c r="E251" s="530"/>
      <c r="F251" s="530"/>
      <c r="G251" s="530"/>
      <c r="H251" s="702"/>
      <c r="I251" s="513"/>
      <c r="J251" s="514"/>
      <c r="K251" s="514"/>
      <c r="L251" s="514"/>
      <c r="M251" s="514"/>
      <c r="N251" s="514"/>
      <c r="O251" s="514"/>
      <c r="P251" s="514"/>
      <c r="Q251" s="514"/>
      <c r="R251" s="515"/>
      <c r="S251" s="515"/>
      <c r="T251" s="515"/>
      <c r="U251" s="515"/>
      <c r="V251" s="515"/>
      <c r="W251" s="515"/>
      <c r="X251" s="515"/>
      <c r="Y251" s="515"/>
    </row>
    <row r="252" spans="1:25" ht="15.75" customHeight="1">
      <c r="A252" s="697"/>
      <c r="B252" s="698"/>
      <c r="C252" s="527" t="s">
        <v>171</v>
      </c>
      <c r="D252" s="564"/>
      <c r="E252" s="530"/>
      <c r="F252" s="530"/>
      <c r="G252" s="530"/>
      <c r="H252" s="702"/>
      <c r="I252" s="513"/>
      <c r="J252" s="514"/>
      <c r="K252" s="514"/>
      <c r="L252" s="514"/>
      <c r="M252" s="514"/>
      <c r="N252" s="514"/>
      <c r="O252" s="514"/>
      <c r="P252" s="514"/>
      <c r="Q252" s="514"/>
      <c r="R252" s="515"/>
      <c r="S252" s="515"/>
      <c r="T252" s="515"/>
      <c r="U252" s="515"/>
      <c r="V252" s="515"/>
      <c r="W252" s="515"/>
      <c r="X252" s="515"/>
      <c r="Y252" s="515"/>
    </row>
    <row r="253" spans="1:25" ht="15.75" customHeight="1">
      <c r="A253" s="697"/>
      <c r="B253" s="698"/>
      <c r="C253" s="553" t="s">
        <v>47</v>
      </c>
      <c r="D253" s="564"/>
      <c r="E253" s="530"/>
      <c r="F253" s="530"/>
      <c r="G253" s="530"/>
      <c r="H253" s="702"/>
      <c r="I253" s="513"/>
      <c r="J253" s="514"/>
      <c r="K253" s="514"/>
      <c r="L253" s="514"/>
      <c r="M253" s="514"/>
      <c r="N253" s="514"/>
      <c r="O253" s="514"/>
      <c r="P253" s="514"/>
      <c r="Q253" s="514"/>
      <c r="R253" s="515"/>
      <c r="S253" s="515"/>
      <c r="T253" s="515"/>
      <c r="U253" s="515"/>
      <c r="V253" s="515"/>
      <c r="W253" s="515"/>
      <c r="X253" s="515"/>
      <c r="Y253" s="515"/>
    </row>
    <row r="254" spans="1:25" ht="15.75" customHeight="1">
      <c r="A254" s="697"/>
      <c r="B254" s="698"/>
      <c r="C254" s="495" t="s">
        <v>172</v>
      </c>
      <c r="D254" s="564"/>
      <c r="E254" s="530"/>
      <c r="F254" s="530"/>
      <c r="G254" s="530"/>
      <c r="H254" s="702"/>
      <c r="I254" s="513"/>
      <c r="J254" s="514"/>
      <c r="K254" s="514"/>
      <c r="L254" s="514"/>
      <c r="M254" s="514"/>
      <c r="N254" s="514"/>
      <c r="O254" s="514"/>
      <c r="P254" s="514"/>
      <c r="Q254" s="514"/>
      <c r="R254" s="515"/>
      <c r="S254" s="515"/>
      <c r="T254" s="515"/>
      <c r="U254" s="515"/>
      <c r="V254" s="515"/>
      <c r="W254" s="515"/>
      <c r="X254" s="515"/>
      <c r="Y254" s="515"/>
    </row>
    <row r="255" spans="1:25" ht="15.75" customHeight="1">
      <c r="A255" s="697"/>
      <c r="B255" s="699"/>
      <c r="C255" s="494" t="s">
        <v>84</v>
      </c>
      <c r="D255" s="568"/>
      <c r="E255" s="535"/>
      <c r="F255" s="535"/>
      <c r="G255" s="535"/>
      <c r="H255" s="703"/>
      <c r="I255" s="513"/>
      <c r="J255" s="514"/>
      <c r="K255" s="514"/>
      <c r="L255" s="514"/>
      <c r="M255" s="514"/>
      <c r="N255" s="514"/>
      <c r="O255" s="514"/>
      <c r="P255" s="514"/>
      <c r="Q255" s="514"/>
      <c r="R255" s="515"/>
      <c r="S255" s="515"/>
      <c r="T255" s="515"/>
      <c r="U255" s="515"/>
      <c r="V255" s="515"/>
      <c r="W255" s="515"/>
      <c r="X255" s="515"/>
      <c r="Y255" s="515"/>
    </row>
    <row r="256" spans="1:25" ht="15.75" customHeight="1">
      <c r="A256" s="571"/>
      <c r="B256" s="700" t="s">
        <v>173</v>
      </c>
      <c r="C256" s="537" t="s">
        <v>26</v>
      </c>
      <c r="D256" s="570"/>
      <c r="E256" s="539" t="s">
        <v>174</v>
      </c>
      <c r="F256" s="539" t="s">
        <v>175</v>
      </c>
      <c r="G256" s="539"/>
      <c r="H256" s="705"/>
      <c r="I256" s="513"/>
      <c r="J256" s="514"/>
      <c r="K256" s="514"/>
      <c r="L256" s="514"/>
      <c r="M256" s="514"/>
      <c r="N256" s="514"/>
      <c r="O256" s="514"/>
      <c r="P256" s="514"/>
      <c r="Q256" s="514"/>
      <c r="R256" s="515"/>
      <c r="S256" s="515"/>
      <c r="T256" s="515"/>
      <c r="U256" s="515"/>
      <c r="V256" s="515"/>
      <c r="W256" s="515"/>
      <c r="X256" s="515"/>
      <c r="Y256" s="515"/>
    </row>
    <row r="257" spans="1:25" ht="73.25" customHeight="1">
      <c r="A257" s="571"/>
      <c r="B257" s="698"/>
      <c r="C257" s="527" t="s">
        <v>176</v>
      </c>
      <c r="D257" s="564"/>
      <c r="E257" s="530"/>
      <c r="F257" s="530"/>
      <c r="G257" s="530"/>
      <c r="H257" s="702"/>
      <c r="I257" s="513"/>
      <c r="J257" s="514"/>
      <c r="K257" s="514"/>
      <c r="L257" s="514"/>
      <c r="M257" s="514"/>
      <c r="N257" s="514"/>
      <c r="O257" s="514"/>
      <c r="P257" s="514"/>
      <c r="Q257" s="514"/>
      <c r="R257" s="515"/>
      <c r="S257" s="515"/>
      <c r="T257" s="515"/>
      <c r="U257" s="515"/>
      <c r="V257" s="515"/>
      <c r="W257" s="515"/>
      <c r="X257" s="515"/>
      <c r="Y257" s="515"/>
    </row>
    <row r="258" spans="1:25" ht="15.75" customHeight="1">
      <c r="A258" s="571"/>
      <c r="B258" s="698"/>
      <c r="C258" s="537" t="s">
        <v>38</v>
      </c>
      <c r="D258" s="564"/>
      <c r="E258" s="530"/>
      <c r="F258" s="530"/>
      <c r="G258" s="530"/>
      <c r="H258" s="702"/>
      <c r="I258" s="513"/>
      <c r="J258" s="514"/>
      <c r="K258" s="514"/>
      <c r="L258" s="514"/>
      <c r="M258" s="514"/>
      <c r="N258" s="514"/>
      <c r="O258" s="514"/>
      <c r="P258" s="514"/>
      <c r="Q258" s="514"/>
      <c r="R258" s="515"/>
      <c r="S258" s="515"/>
      <c r="T258" s="515"/>
      <c r="U258" s="515"/>
      <c r="V258" s="515"/>
      <c r="W258" s="515"/>
      <c r="X258" s="515"/>
      <c r="Y258" s="515"/>
    </row>
    <row r="259" spans="1:25" ht="15.75" customHeight="1">
      <c r="A259" s="571"/>
      <c r="B259" s="698"/>
      <c r="C259" s="527" t="s">
        <v>177</v>
      </c>
      <c r="D259" s="564"/>
      <c r="E259" s="530"/>
      <c r="F259" s="530"/>
      <c r="G259" s="530"/>
      <c r="H259" s="702"/>
      <c r="I259" s="513"/>
      <c r="J259" s="514"/>
      <c r="K259" s="514"/>
      <c r="L259" s="514"/>
      <c r="M259" s="514"/>
      <c r="N259" s="514"/>
      <c r="O259" s="514"/>
      <c r="P259" s="514"/>
      <c r="Q259" s="514"/>
      <c r="R259" s="515"/>
      <c r="S259" s="515"/>
      <c r="T259" s="515"/>
      <c r="U259" s="515"/>
      <c r="V259" s="515"/>
      <c r="W259" s="515"/>
      <c r="X259" s="515"/>
      <c r="Y259" s="515"/>
    </row>
    <row r="260" spans="1:25" ht="15.75" customHeight="1">
      <c r="A260" s="571"/>
      <c r="B260" s="698"/>
      <c r="C260" s="537" t="s">
        <v>40</v>
      </c>
      <c r="D260" s="564"/>
      <c r="E260" s="530"/>
      <c r="F260" s="530"/>
      <c r="G260" s="530"/>
      <c r="H260" s="702"/>
      <c r="I260" s="513"/>
      <c r="J260" s="514"/>
      <c r="K260" s="514"/>
      <c r="L260" s="514"/>
      <c r="M260" s="514"/>
      <c r="N260" s="514"/>
      <c r="O260" s="514"/>
      <c r="P260" s="514"/>
      <c r="Q260" s="514"/>
      <c r="R260" s="515"/>
      <c r="S260" s="515"/>
      <c r="T260" s="515"/>
      <c r="U260" s="515"/>
      <c r="V260" s="515"/>
      <c r="W260" s="515"/>
      <c r="X260" s="515"/>
      <c r="Y260" s="515"/>
    </row>
    <row r="261" spans="1:25" ht="15.75" customHeight="1">
      <c r="A261" s="571"/>
      <c r="B261" s="698"/>
      <c r="C261" s="527" t="s">
        <v>178</v>
      </c>
      <c r="D261" s="564"/>
      <c r="E261" s="530"/>
      <c r="F261" s="530"/>
      <c r="G261" s="530"/>
      <c r="H261" s="702"/>
      <c r="I261" s="513"/>
      <c r="J261" s="514"/>
      <c r="K261" s="514"/>
      <c r="L261" s="514"/>
      <c r="M261" s="514"/>
      <c r="N261" s="514"/>
      <c r="O261" s="514"/>
      <c r="P261" s="514"/>
      <c r="Q261" s="514"/>
      <c r="R261" s="515"/>
      <c r="S261" s="515"/>
      <c r="T261" s="515"/>
      <c r="U261" s="515"/>
      <c r="V261" s="515"/>
      <c r="W261" s="515"/>
      <c r="X261" s="515"/>
      <c r="Y261" s="515"/>
    </row>
    <row r="262" spans="1:25" ht="15.75" customHeight="1">
      <c r="A262" s="571"/>
      <c r="B262" s="698"/>
      <c r="C262" s="553" t="s">
        <v>47</v>
      </c>
      <c r="D262" s="564"/>
      <c r="E262" s="530"/>
      <c r="F262" s="530"/>
      <c r="G262" s="530"/>
      <c r="H262" s="702"/>
      <c r="I262" s="513"/>
      <c r="J262" s="514"/>
      <c r="K262" s="514"/>
      <c r="L262" s="514"/>
      <c r="M262" s="514"/>
      <c r="N262" s="514"/>
      <c r="O262" s="514"/>
      <c r="P262" s="514"/>
      <c r="Q262" s="514"/>
      <c r="R262" s="515"/>
      <c r="S262" s="515"/>
      <c r="T262" s="515"/>
      <c r="U262" s="515"/>
      <c r="V262" s="515"/>
      <c r="W262" s="515"/>
      <c r="X262" s="515"/>
      <c r="Y262" s="515"/>
    </row>
    <row r="263" spans="1:25" ht="15.75" customHeight="1">
      <c r="A263" s="571"/>
      <c r="B263" s="699"/>
      <c r="C263" s="494" t="s">
        <v>135</v>
      </c>
      <c r="D263" s="568"/>
      <c r="E263" s="535"/>
      <c r="F263" s="535"/>
      <c r="G263" s="535"/>
      <c r="H263" s="703"/>
      <c r="I263" s="513"/>
      <c r="J263" s="514"/>
      <c r="K263" s="514"/>
      <c r="L263" s="514"/>
      <c r="M263" s="514"/>
      <c r="N263" s="514"/>
      <c r="O263" s="514"/>
      <c r="P263" s="514"/>
      <c r="Q263" s="514"/>
      <c r="R263" s="515"/>
      <c r="S263" s="515"/>
      <c r="T263" s="515"/>
      <c r="U263" s="515"/>
      <c r="V263" s="515"/>
      <c r="W263" s="515"/>
      <c r="X263" s="515"/>
      <c r="Y263" s="515"/>
    </row>
    <row r="264" spans="1:25" ht="15.75" customHeight="1">
      <c r="A264" s="571"/>
      <c r="B264" s="700" t="s">
        <v>179</v>
      </c>
      <c r="C264" s="537" t="s">
        <v>57</v>
      </c>
      <c r="D264" s="570"/>
      <c r="E264" s="539" t="s">
        <v>180</v>
      </c>
      <c r="F264" s="539"/>
      <c r="G264" s="539"/>
      <c r="H264" s="539"/>
      <c r="I264" s="513"/>
      <c r="J264" s="514"/>
      <c r="K264" s="514"/>
      <c r="L264" s="514"/>
      <c r="M264" s="514"/>
      <c r="N264" s="514"/>
      <c r="O264" s="514"/>
      <c r="P264" s="514"/>
      <c r="Q264" s="514"/>
      <c r="R264" s="515"/>
      <c r="S264" s="515"/>
      <c r="T264" s="515"/>
      <c r="U264" s="515"/>
      <c r="V264" s="515"/>
      <c r="W264" s="515"/>
      <c r="X264" s="515"/>
      <c r="Y264" s="515"/>
    </row>
    <row r="265" spans="1:25" ht="15.75" customHeight="1">
      <c r="A265" s="571"/>
      <c r="B265" s="699"/>
      <c r="C265" s="533" t="s">
        <v>181</v>
      </c>
      <c r="D265" s="568"/>
      <c r="E265" s="535"/>
      <c r="F265" s="535"/>
      <c r="G265" s="535"/>
      <c r="H265" s="535"/>
      <c r="I265" s="513"/>
      <c r="J265" s="514"/>
      <c r="K265" s="514"/>
      <c r="L265" s="514"/>
      <c r="M265" s="514"/>
      <c r="N265" s="514"/>
      <c r="O265" s="514"/>
      <c r="P265" s="514"/>
      <c r="Q265" s="514"/>
      <c r="R265" s="515"/>
      <c r="S265" s="515"/>
      <c r="T265" s="515"/>
      <c r="U265" s="515"/>
      <c r="V265" s="515"/>
      <c r="W265" s="515"/>
      <c r="X265" s="515"/>
      <c r="Y265" s="515"/>
    </row>
    <row r="266" spans="1:25" ht="15.75" customHeight="1">
      <c r="A266" s="571"/>
      <c r="B266" s="698" t="s">
        <v>182</v>
      </c>
      <c r="C266" s="537" t="s">
        <v>26</v>
      </c>
      <c r="D266" s="564"/>
      <c r="E266" s="530" t="s">
        <v>180</v>
      </c>
      <c r="F266" s="530"/>
      <c r="G266" s="530"/>
      <c r="H266" s="530"/>
      <c r="I266" s="513"/>
      <c r="J266" s="514"/>
      <c r="K266" s="514"/>
      <c r="L266" s="514"/>
      <c r="M266" s="514"/>
      <c r="N266" s="514"/>
      <c r="O266" s="514"/>
      <c r="P266" s="514"/>
      <c r="Q266" s="514"/>
      <c r="R266" s="515"/>
      <c r="S266" s="515"/>
      <c r="T266" s="515"/>
      <c r="U266" s="515"/>
      <c r="V266" s="515"/>
      <c r="W266" s="515"/>
      <c r="X266" s="515"/>
      <c r="Y266" s="515"/>
    </row>
    <row r="267" spans="1:25" ht="15.75" customHeight="1">
      <c r="A267" s="571"/>
      <c r="B267" s="698"/>
      <c r="C267" s="527" t="s">
        <v>183</v>
      </c>
      <c r="D267" s="564"/>
      <c r="E267" s="530"/>
      <c r="F267" s="530"/>
      <c r="G267" s="530"/>
      <c r="H267" s="530"/>
      <c r="I267" s="513"/>
      <c r="J267" s="514"/>
      <c r="K267" s="514"/>
      <c r="L267" s="514"/>
      <c r="M267" s="514"/>
      <c r="N267" s="514"/>
      <c r="O267" s="514"/>
      <c r="P267" s="514"/>
      <c r="Q267" s="514"/>
      <c r="R267" s="515"/>
      <c r="S267" s="515"/>
      <c r="T267" s="515"/>
      <c r="U267" s="515"/>
      <c r="V267" s="515"/>
      <c r="W267" s="515"/>
      <c r="X267" s="515"/>
      <c r="Y267" s="515"/>
    </row>
    <row r="268" spans="1:25" ht="15.75" customHeight="1">
      <c r="A268" s="717" t="s">
        <v>184</v>
      </c>
      <c r="B268" s="717"/>
      <c r="C268" s="717"/>
      <c r="D268" s="717"/>
      <c r="E268" s="719"/>
      <c r="F268" s="719"/>
      <c r="G268" s="719"/>
      <c r="H268" s="719"/>
      <c r="I268" s="513"/>
      <c r="J268" s="514"/>
      <c r="K268" s="514"/>
      <c r="L268" s="514"/>
      <c r="M268" s="514"/>
      <c r="N268" s="514"/>
      <c r="O268" s="514"/>
      <c r="P268" s="514"/>
      <c r="Q268" s="514"/>
      <c r="R268" s="515"/>
      <c r="S268" s="515"/>
      <c r="T268" s="515"/>
      <c r="U268" s="515"/>
      <c r="V268" s="515"/>
      <c r="W268" s="515"/>
      <c r="X268" s="515"/>
      <c r="Y268" s="515"/>
    </row>
    <row r="269" spans="1:25" ht="15.75" customHeight="1">
      <c r="A269" s="697" t="s">
        <v>155</v>
      </c>
      <c r="B269" s="698" t="s">
        <v>161</v>
      </c>
      <c r="C269" s="537" t="s">
        <v>1570</v>
      </c>
      <c r="D269" s="564"/>
      <c r="E269" s="530"/>
      <c r="F269" s="530"/>
      <c r="G269" s="530"/>
      <c r="H269" s="530"/>
      <c r="I269" s="513"/>
      <c r="J269" s="514"/>
      <c r="K269" s="514"/>
      <c r="L269" s="514"/>
      <c r="M269" s="514"/>
      <c r="N269" s="514"/>
      <c r="O269" s="514"/>
      <c r="P269" s="514"/>
      <c r="Q269" s="514"/>
      <c r="R269" s="515"/>
      <c r="S269" s="515"/>
      <c r="T269" s="515"/>
      <c r="U269" s="515"/>
      <c r="V269" s="515"/>
      <c r="W269" s="515"/>
      <c r="X269" s="515"/>
      <c r="Y269" s="515"/>
    </row>
    <row r="270" spans="1:25" ht="26.75" customHeight="1">
      <c r="A270" s="697"/>
      <c r="B270" s="698"/>
      <c r="C270" s="527" t="s">
        <v>185</v>
      </c>
      <c r="D270" s="564"/>
      <c r="E270" s="530"/>
      <c r="F270" s="530"/>
      <c r="G270" s="530"/>
      <c r="H270" s="530"/>
      <c r="I270" s="513"/>
      <c r="J270" s="514"/>
      <c r="K270" s="514"/>
      <c r="L270" s="514"/>
      <c r="M270" s="514"/>
      <c r="N270" s="514"/>
      <c r="O270" s="514"/>
      <c r="P270" s="514"/>
      <c r="Q270" s="514"/>
      <c r="R270" s="515"/>
      <c r="S270" s="515"/>
      <c r="T270" s="515"/>
      <c r="U270" s="515"/>
      <c r="V270" s="515"/>
      <c r="W270" s="515"/>
      <c r="X270" s="515"/>
      <c r="Y270" s="515"/>
    </row>
    <row r="271" spans="1:25" ht="15.75" customHeight="1">
      <c r="A271" s="697"/>
      <c r="B271" s="698"/>
      <c r="C271" s="537" t="s">
        <v>38</v>
      </c>
      <c r="D271" s="564"/>
      <c r="E271" s="530"/>
      <c r="F271" s="530"/>
      <c r="G271" s="530"/>
      <c r="H271" s="530"/>
      <c r="I271" s="513"/>
      <c r="J271" s="514"/>
      <c r="K271" s="514"/>
      <c r="L271" s="514"/>
      <c r="M271" s="514"/>
      <c r="N271" s="514"/>
      <c r="O271" s="514"/>
      <c r="P271" s="514"/>
      <c r="Q271" s="514"/>
      <c r="R271" s="515"/>
      <c r="S271" s="515"/>
      <c r="T271" s="515"/>
      <c r="U271" s="515"/>
      <c r="V271" s="515"/>
      <c r="W271" s="515"/>
      <c r="X271" s="515"/>
      <c r="Y271" s="515"/>
    </row>
    <row r="272" spans="1:25" ht="15.75" customHeight="1">
      <c r="A272" s="697"/>
      <c r="B272" s="698"/>
      <c r="C272" s="527" t="s">
        <v>171</v>
      </c>
      <c r="D272" s="564"/>
      <c r="E272" s="530"/>
      <c r="F272" s="530"/>
      <c r="G272" s="530"/>
      <c r="H272" s="530"/>
      <c r="I272" s="513"/>
      <c r="J272" s="514"/>
      <c r="K272" s="514"/>
      <c r="L272" s="514"/>
      <c r="M272" s="514"/>
      <c r="N272" s="514"/>
      <c r="O272" s="514"/>
      <c r="P272" s="514"/>
      <c r="Q272" s="514"/>
      <c r="R272" s="515"/>
      <c r="S272" s="515"/>
      <c r="T272" s="515"/>
      <c r="U272" s="515"/>
      <c r="V272" s="515"/>
      <c r="W272" s="515"/>
      <c r="X272" s="515"/>
      <c r="Y272" s="515"/>
    </row>
    <row r="273" spans="1:25" ht="15.75" customHeight="1">
      <c r="A273" s="697"/>
      <c r="B273" s="698"/>
      <c r="C273" s="528" t="s">
        <v>186</v>
      </c>
      <c r="D273" s="564"/>
      <c r="E273" s="530"/>
      <c r="F273" s="530"/>
      <c r="G273" s="530"/>
      <c r="H273" s="530"/>
      <c r="I273" s="513"/>
      <c r="J273" s="514"/>
      <c r="K273" s="514"/>
      <c r="L273" s="514"/>
      <c r="M273" s="514"/>
      <c r="N273" s="514"/>
      <c r="O273" s="514"/>
      <c r="P273" s="514"/>
      <c r="Q273" s="514"/>
      <c r="R273" s="515"/>
      <c r="S273" s="515"/>
      <c r="T273" s="515"/>
      <c r="U273" s="515"/>
      <c r="V273" s="515"/>
      <c r="W273" s="515"/>
      <c r="X273" s="515"/>
      <c r="Y273" s="515"/>
    </row>
    <row r="274" spans="1:25" ht="15.75" customHeight="1">
      <c r="A274" s="697"/>
      <c r="B274" s="698"/>
      <c r="C274" s="553" t="s">
        <v>47</v>
      </c>
      <c r="D274" s="564"/>
      <c r="E274" s="530"/>
      <c r="F274" s="530"/>
      <c r="G274" s="530"/>
      <c r="H274" s="530"/>
      <c r="I274" s="513"/>
      <c r="J274" s="514"/>
      <c r="K274" s="514"/>
      <c r="L274" s="514"/>
      <c r="M274" s="514"/>
      <c r="N274" s="514"/>
      <c r="O274" s="514"/>
      <c r="P274" s="514"/>
      <c r="Q274" s="514"/>
      <c r="R274" s="515"/>
      <c r="S274" s="515"/>
      <c r="T274" s="515"/>
      <c r="U274" s="515"/>
      <c r="V274" s="515"/>
      <c r="W274" s="515"/>
      <c r="X274" s="515"/>
      <c r="Y274" s="515"/>
    </row>
    <row r="275" spans="1:25" ht="15.75" customHeight="1">
      <c r="A275" s="697"/>
      <c r="B275" s="698"/>
      <c r="C275" s="495" t="s">
        <v>73</v>
      </c>
      <c r="D275" s="564"/>
      <c r="E275" s="530"/>
      <c r="F275" s="530"/>
      <c r="G275" s="530"/>
      <c r="H275" s="530"/>
      <c r="I275" s="513"/>
      <c r="J275" s="514"/>
      <c r="K275" s="514"/>
      <c r="L275" s="514"/>
      <c r="M275" s="514"/>
      <c r="N275" s="514"/>
      <c r="O275" s="514"/>
      <c r="P275" s="514"/>
      <c r="Q275" s="514"/>
      <c r="R275" s="515"/>
      <c r="S275" s="515"/>
      <c r="T275" s="515"/>
      <c r="U275" s="515"/>
      <c r="V275" s="515"/>
      <c r="W275" s="515"/>
      <c r="X275" s="515"/>
      <c r="Y275" s="515"/>
    </row>
    <row r="276" spans="1:25" ht="15.75" customHeight="1">
      <c r="A276" s="697"/>
      <c r="B276" s="698"/>
      <c r="C276" s="527" t="s">
        <v>187</v>
      </c>
      <c r="D276" s="564"/>
      <c r="E276" s="530"/>
      <c r="F276" s="530"/>
      <c r="G276" s="530"/>
      <c r="H276" s="530"/>
      <c r="I276" s="513"/>
      <c r="J276" s="514"/>
      <c r="K276" s="514"/>
      <c r="L276" s="514"/>
      <c r="M276" s="514"/>
      <c r="N276" s="514"/>
      <c r="O276" s="514"/>
      <c r="P276" s="514"/>
      <c r="Q276" s="514"/>
      <c r="R276" s="515"/>
      <c r="S276" s="515"/>
      <c r="T276" s="515"/>
      <c r="U276" s="515"/>
      <c r="V276" s="515"/>
      <c r="W276" s="515"/>
      <c r="X276" s="515"/>
      <c r="Y276" s="515"/>
    </row>
    <row r="277" spans="1:25" ht="15.75" customHeight="1">
      <c r="A277" s="697"/>
      <c r="B277" s="698"/>
      <c r="C277" s="495" t="s">
        <v>135</v>
      </c>
      <c r="D277" s="564"/>
      <c r="E277" s="530"/>
      <c r="F277" s="530"/>
      <c r="G277" s="530"/>
      <c r="H277" s="530"/>
      <c r="I277" s="513"/>
      <c r="J277" s="514"/>
      <c r="K277" s="514"/>
      <c r="L277" s="514"/>
      <c r="M277" s="514"/>
      <c r="N277" s="514"/>
      <c r="O277" s="514"/>
      <c r="P277" s="514"/>
      <c r="Q277" s="514"/>
      <c r="R277" s="515"/>
      <c r="S277" s="515"/>
      <c r="T277" s="515"/>
      <c r="U277" s="515"/>
      <c r="V277" s="515"/>
      <c r="W277" s="515"/>
      <c r="X277" s="515"/>
      <c r="Y277" s="515"/>
    </row>
    <row r="278" spans="1:25" ht="15.75" customHeight="1">
      <c r="A278" s="718"/>
      <c r="B278" s="699"/>
      <c r="C278" s="494" t="s">
        <v>188</v>
      </c>
      <c r="D278" s="568"/>
      <c r="E278" s="535"/>
      <c r="F278" s="535"/>
      <c r="G278" s="535"/>
      <c r="H278" s="535"/>
      <c r="I278" s="513"/>
      <c r="J278" s="514"/>
      <c r="K278" s="514"/>
      <c r="L278" s="514"/>
      <c r="M278" s="514"/>
      <c r="N278" s="514"/>
      <c r="O278" s="514"/>
      <c r="P278" s="514"/>
      <c r="Q278" s="514"/>
      <c r="R278" s="515"/>
      <c r="S278" s="515"/>
      <c r="T278" s="515"/>
      <c r="U278" s="515"/>
      <c r="V278" s="515"/>
      <c r="W278" s="515"/>
      <c r="X278" s="515"/>
      <c r="Y278" s="515"/>
    </row>
    <row r="279" spans="1:25" ht="15.75" customHeight="1">
      <c r="A279" s="697" t="s">
        <v>189</v>
      </c>
      <c r="B279" s="700" t="s">
        <v>190</v>
      </c>
      <c r="C279" s="537" t="s">
        <v>1570</v>
      </c>
      <c r="D279" s="570"/>
      <c r="E279" s="539"/>
      <c r="F279" s="539"/>
      <c r="G279" s="539"/>
      <c r="H279" s="539"/>
      <c r="I279" s="513"/>
      <c r="J279" s="514"/>
      <c r="K279" s="514"/>
      <c r="L279" s="514"/>
      <c r="M279" s="514"/>
      <c r="N279" s="514"/>
      <c r="O279" s="514"/>
      <c r="P279" s="514"/>
      <c r="Q279" s="514"/>
      <c r="R279" s="515"/>
      <c r="S279" s="515"/>
      <c r="T279" s="515"/>
      <c r="U279" s="515"/>
      <c r="V279" s="515"/>
      <c r="W279" s="515"/>
      <c r="X279" s="515"/>
      <c r="Y279" s="515"/>
    </row>
    <row r="280" spans="1:25" ht="15.75" customHeight="1">
      <c r="A280" s="697"/>
      <c r="B280" s="698"/>
      <c r="C280" s="527" t="s">
        <v>52</v>
      </c>
      <c r="D280" s="564"/>
      <c r="E280" s="530"/>
      <c r="F280" s="530"/>
      <c r="G280" s="530"/>
      <c r="H280" s="530"/>
      <c r="I280" s="513"/>
      <c r="J280" s="514"/>
      <c r="K280" s="514"/>
      <c r="L280" s="514"/>
      <c r="M280" s="514"/>
      <c r="N280" s="514"/>
      <c r="O280" s="514"/>
      <c r="P280" s="514"/>
      <c r="Q280" s="514"/>
      <c r="R280" s="515"/>
      <c r="S280" s="515"/>
      <c r="T280" s="515"/>
      <c r="U280" s="515"/>
      <c r="V280" s="515"/>
      <c r="W280" s="515"/>
      <c r="X280" s="515"/>
      <c r="Y280" s="515"/>
    </row>
    <row r="281" spans="1:25" ht="15.75" customHeight="1">
      <c r="A281" s="697"/>
      <c r="B281" s="699"/>
      <c r="C281" s="554" t="s">
        <v>191</v>
      </c>
      <c r="D281" s="568"/>
      <c r="E281" s="535"/>
      <c r="F281" s="535"/>
      <c r="G281" s="535"/>
      <c r="H281" s="535"/>
      <c r="I281" s="513"/>
      <c r="J281" s="514"/>
      <c r="K281" s="514"/>
      <c r="L281" s="514"/>
      <c r="M281" s="514"/>
      <c r="N281" s="514"/>
      <c r="O281" s="514"/>
      <c r="P281" s="514"/>
      <c r="Q281" s="514"/>
      <c r="R281" s="515"/>
      <c r="S281" s="515"/>
      <c r="T281" s="515"/>
      <c r="U281" s="515"/>
      <c r="V281" s="515"/>
      <c r="W281" s="515"/>
      <c r="X281" s="515"/>
      <c r="Y281" s="515"/>
    </row>
    <row r="282" spans="1:25" ht="26.75" customHeight="1">
      <c r="A282" s="697"/>
      <c r="B282" s="527" t="s">
        <v>192</v>
      </c>
      <c r="C282" s="528" t="s">
        <v>193</v>
      </c>
      <c r="D282" s="564"/>
      <c r="E282" s="541">
        <v>6</v>
      </c>
      <c r="F282" s="530" t="s">
        <v>194</v>
      </c>
      <c r="G282" s="530"/>
      <c r="H282" s="530"/>
      <c r="I282" s="513"/>
      <c r="J282" s="514"/>
      <c r="K282" s="514"/>
      <c r="L282" s="514"/>
      <c r="M282" s="514"/>
      <c r="N282" s="514"/>
      <c r="O282" s="514"/>
      <c r="P282" s="514"/>
      <c r="Q282" s="514"/>
      <c r="R282" s="515"/>
      <c r="S282" s="515"/>
      <c r="T282" s="515"/>
      <c r="U282" s="515"/>
      <c r="V282" s="515"/>
      <c r="W282" s="515"/>
      <c r="X282" s="515"/>
      <c r="Y282" s="515"/>
    </row>
    <row r="283" spans="1:25" ht="15.75" customHeight="1">
      <c r="A283" s="717" t="s">
        <v>195</v>
      </c>
      <c r="B283" s="717"/>
      <c r="C283" s="717"/>
      <c r="D283" s="717"/>
      <c r="E283" s="719"/>
      <c r="F283" s="719"/>
      <c r="G283" s="719"/>
      <c r="H283" s="719"/>
      <c r="I283" s="513"/>
      <c r="J283" s="514"/>
      <c r="K283" s="514"/>
      <c r="L283" s="514"/>
      <c r="M283" s="514"/>
      <c r="N283" s="514"/>
      <c r="O283" s="514"/>
      <c r="P283" s="514"/>
      <c r="Q283" s="514"/>
      <c r="R283" s="515"/>
      <c r="S283" s="515"/>
      <c r="T283" s="515"/>
      <c r="U283" s="515"/>
      <c r="V283" s="515"/>
      <c r="W283" s="515"/>
      <c r="X283" s="515"/>
      <c r="Y283" s="515"/>
    </row>
    <row r="284" spans="1:25" ht="15.75" customHeight="1">
      <c r="A284" s="697" t="s">
        <v>155</v>
      </c>
      <c r="B284" s="698" t="s">
        <v>161</v>
      </c>
      <c r="C284" s="520" t="s">
        <v>47</v>
      </c>
      <c r="D284" s="564"/>
      <c r="E284" s="541">
        <v>1</v>
      </c>
      <c r="F284" s="530" t="s">
        <v>196</v>
      </c>
      <c r="G284" s="530"/>
      <c r="H284" s="530"/>
      <c r="I284" s="513"/>
      <c r="J284" s="514"/>
      <c r="K284" s="514"/>
      <c r="L284" s="514"/>
      <c r="M284" s="514"/>
      <c r="N284" s="514"/>
      <c r="O284" s="514"/>
      <c r="P284" s="514"/>
      <c r="Q284" s="514"/>
      <c r="R284" s="515"/>
      <c r="S284" s="515"/>
      <c r="T284" s="515"/>
      <c r="U284" s="515"/>
      <c r="V284" s="515"/>
      <c r="W284" s="515"/>
      <c r="X284" s="515"/>
      <c r="Y284" s="515"/>
    </row>
    <row r="285" spans="1:25" ht="15.75" customHeight="1">
      <c r="A285" s="697"/>
      <c r="B285" s="698"/>
      <c r="C285" s="496" t="s">
        <v>135</v>
      </c>
      <c r="D285" s="564"/>
      <c r="E285" s="530"/>
      <c r="F285" s="530"/>
      <c r="G285" s="530"/>
      <c r="H285" s="530"/>
      <c r="I285" s="513"/>
      <c r="J285" s="514"/>
      <c r="K285" s="514"/>
      <c r="L285" s="514"/>
      <c r="M285" s="514"/>
      <c r="N285" s="514"/>
      <c r="O285" s="514"/>
      <c r="P285" s="514"/>
      <c r="Q285" s="514"/>
      <c r="R285" s="515"/>
      <c r="S285" s="515"/>
      <c r="T285" s="515"/>
      <c r="U285" s="515"/>
      <c r="V285" s="515"/>
      <c r="W285" s="515"/>
      <c r="X285" s="515"/>
      <c r="Y285" s="515"/>
    </row>
    <row r="286" spans="1:25" ht="15.75" customHeight="1">
      <c r="A286" s="697"/>
      <c r="B286" s="698"/>
      <c r="C286" s="496" t="s">
        <v>197</v>
      </c>
      <c r="D286" s="564"/>
      <c r="E286" s="530"/>
      <c r="F286" s="530"/>
      <c r="G286" s="530"/>
      <c r="H286" s="530"/>
      <c r="I286" s="513"/>
      <c r="J286" s="514"/>
      <c r="K286" s="514"/>
      <c r="L286" s="514"/>
      <c r="M286" s="514"/>
      <c r="N286" s="514"/>
      <c r="O286" s="514"/>
      <c r="P286" s="514"/>
      <c r="Q286" s="514"/>
      <c r="R286" s="515"/>
      <c r="S286" s="515"/>
      <c r="T286" s="515"/>
      <c r="U286" s="515"/>
      <c r="V286" s="515"/>
      <c r="W286" s="515"/>
      <c r="X286" s="515"/>
      <c r="Y286" s="515"/>
    </row>
    <row r="287" spans="1:25" ht="15.75" customHeight="1">
      <c r="A287" s="697"/>
      <c r="B287" s="698"/>
      <c r="C287" s="496" t="s">
        <v>84</v>
      </c>
      <c r="D287" s="564"/>
      <c r="E287" s="530"/>
      <c r="F287" s="530"/>
      <c r="G287" s="530"/>
      <c r="H287" s="530"/>
      <c r="I287" s="513"/>
      <c r="J287" s="514"/>
      <c r="K287" s="514"/>
      <c r="L287" s="514"/>
      <c r="M287" s="514"/>
      <c r="N287" s="514"/>
      <c r="O287" s="514"/>
      <c r="P287" s="514"/>
      <c r="Q287" s="514"/>
      <c r="R287" s="515"/>
      <c r="S287" s="515"/>
      <c r="T287" s="515"/>
      <c r="U287" s="515"/>
      <c r="V287" s="515"/>
      <c r="W287" s="515"/>
      <c r="X287" s="515"/>
      <c r="Y287" s="515"/>
    </row>
    <row r="288" spans="1:25" ht="15.75" customHeight="1">
      <c r="A288" s="697"/>
      <c r="B288" s="698"/>
      <c r="C288" s="496" t="s">
        <v>73</v>
      </c>
      <c r="D288" s="564"/>
      <c r="E288" s="530"/>
      <c r="F288" s="530"/>
      <c r="G288" s="530"/>
      <c r="H288" s="530"/>
      <c r="I288" s="513"/>
      <c r="J288" s="514"/>
      <c r="K288" s="514"/>
      <c r="L288" s="514"/>
      <c r="M288" s="514"/>
      <c r="N288" s="514"/>
      <c r="O288" s="514"/>
      <c r="P288" s="514"/>
      <c r="Q288" s="514"/>
      <c r="R288" s="515"/>
      <c r="S288" s="515"/>
      <c r="T288" s="515"/>
      <c r="U288" s="515"/>
      <c r="V288" s="515"/>
      <c r="W288" s="515"/>
      <c r="X288" s="515"/>
      <c r="Y288" s="515"/>
    </row>
    <row r="289" spans="1:25" ht="15.75" customHeight="1">
      <c r="A289" s="697"/>
      <c r="B289" s="698"/>
      <c r="C289" s="519" t="s">
        <v>166</v>
      </c>
      <c r="D289" s="564"/>
      <c r="E289" s="530"/>
      <c r="F289" s="530"/>
      <c r="G289" s="530"/>
      <c r="H289" s="530"/>
      <c r="I289" s="513"/>
      <c r="J289" s="514"/>
      <c r="K289" s="514"/>
      <c r="L289" s="514"/>
      <c r="M289" s="514"/>
      <c r="N289" s="514"/>
      <c r="O289" s="514"/>
      <c r="P289" s="514"/>
      <c r="Q289" s="514"/>
      <c r="R289" s="515"/>
      <c r="S289" s="515"/>
      <c r="T289" s="515"/>
      <c r="U289" s="515"/>
      <c r="V289" s="515"/>
      <c r="W289" s="515"/>
      <c r="X289" s="515"/>
      <c r="Y289" s="515"/>
    </row>
    <row r="290" spans="1:25">
      <c r="A290" s="697"/>
      <c r="B290" s="698"/>
      <c r="C290" s="496" t="s">
        <v>1596</v>
      </c>
      <c r="D290" s="564"/>
      <c r="E290" s="530"/>
      <c r="F290" s="530"/>
      <c r="G290" s="530"/>
      <c r="H290" s="530"/>
      <c r="I290" s="513"/>
      <c r="J290" s="514"/>
      <c r="K290" s="514"/>
      <c r="L290" s="514"/>
      <c r="M290" s="514"/>
      <c r="N290" s="514"/>
      <c r="O290" s="514"/>
      <c r="P290" s="514"/>
      <c r="Q290" s="514"/>
      <c r="R290" s="515"/>
      <c r="S290" s="515"/>
      <c r="T290" s="515"/>
      <c r="U290" s="515"/>
      <c r="V290" s="515"/>
      <c r="W290" s="515"/>
      <c r="X290" s="515"/>
      <c r="Y290" s="515"/>
    </row>
    <row r="291" spans="1:25" ht="15.75" customHeight="1">
      <c r="A291" s="697"/>
      <c r="B291" s="698"/>
      <c r="C291" s="496" t="s">
        <v>1597</v>
      </c>
      <c r="D291" s="564"/>
      <c r="E291" s="530"/>
      <c r="F291" s="530"/>
      <c r="G291" s="530"/>
      <c r="H291" s="530"/>
      <c r="I291" s="513"/>
      <c r="J291" s="514"/>
      <c r="K291" s="514"/>
      <c r="L291" s="514"/>
      <c r="M291" s="514"/>
      <c r="N291" s="514"/>
      <c r="O291" s="514"/>
      <c r="P291" s="514"/>
      <c r="Q291" s="514"/>
      <c r="R291" s="515"/>
      <c r="S291" s="515"/>
      <c r="T291" s="515"/>
      <c r="U291" s="515"/>
      <c r="V291" s="515"/>
      <c r="W291" s="515"/>
      <c r="X291" s="515"/>
      <c r="Y291" s="515"/>
    </row>
    <row r="292" spans="1:25" ht="17" customHeight="1">
      <c r="A292" s="697"/>
      <c r="B292" s="698"/>
      <c r="C292" s="496" t="s">
        <v>1598</v>
      </c>
      <c r="D292" s="564"/>
      <c r="E292" s="530"/>
      <c r="F292" s="530"/>
      <c r="G292" s="530"/>
      <c r="H292" s="530"/>
      <c r="I292" s="513"/>
      <c r="J292" s="514"/>
      <c r="K292" s="514"/>
      <c r="L292" s="514"/>
      <c r="M292" s="514"/>
      <c r="N292" s="514"/>
      <c r="O292" s="514"/>
      <c r="P292" s="514"/>
      <c r="Q292" s="514"/>
      <c r="R292" s="515"/>
      <c r="S292" s="515"/>
      <c r="T292" s="515"/>
      <c r="U292" s="515"/>
      <c r="V292" s="515"/>
      <c r="W292" s="515"/>
      <c r="X292" s="515"/>
      <c r="Y292" s="515"/>
    </row>
    <row r="293" spans="1:25" ht="26.75" customHeight="1">
      <c r="A293" s="720"/>
      <c r="B293" s="699"/>
      <c r="C293" s="497" t="s">
        <v>198</v>
      </c>
      <c r="D293" s="568"/>
      <c r="E293" s="535"/>
      <c r="F293" s="535"/>
      <c r="G293" s="535"/>
      <c r="H293" s="535"/>
      <c r="I293" s="513"/>
      <c r="J293" s="514"/>
      <c r="K293" s="514"/>
      <c r="L293" s="514"/>
      <c r="M293" s="514"/>
      <c r="N293" s="514"/>
      <c r="O293" s="514"/>
      <c r="P293" s="514"/>
      <c r="Q293" s="514"/>
      <c r="R293" s="515"/>
      <c r="S293" s="515"/>
      <c r="T293" s="515"/>
      <c r="U293" s="515"/>
      <c r="V293" s="515"/>
      <c r="W293" s="515"/>
      <c r="X293" s="515"/>
      <c r="Y293" s="515"/>
    </row>
    <row r="294" spans="1:25" ht="15.75" customHeight="1">
      <c r="A294" s="721" t="s">
        <v>199</v>
      </c>
      <c r="B294" s="700" t="s">
        <v>200</v>
      </c>
      <c r="C294" s="537" t="s">
        <v>1570</v>
      </c>
      <c r="D294" s="570"/>
      <c r="E294" s="540">
        <v>1</v>
      </c>
      <c r="F294" s="540">
        <v>9</v>
      </c>
      <c r="G294" s="539"/>
      <c r="H294" s="539"/>
      <c r="I294" s="513"/>
      <c r="J294" s="514"/>
      <c r="K294" s="514"/>
      <c r="L294" s="514"/>
      <c r="M294" s="514"/>
      <c r="N294" s="514"/>
      <c r="O294" s="514"/>
      <c r="P294" s="514"/>
      <c r="Q294" s="514"/>
      <c r="R294" s="515"/>
      <c r="S294" s="515"/>
      <c r="T294" s="515"/>
      <c r="U294" s="515"/>
      <c r="V294" s="515"/>
      <c r="W294" s="515"/>
      <c r="X294" s="515"/>
      <c r="Y294" s="515"/>
    </row>
    <row r="295" spans="1:25" ht="26.75" customHeight="1">
      <c r="A295" s="697"/>
      <c r="B295" s="698"/>
      <c r="C295" s="527" t="s">
        <v>201</v>
      </c>
      <c r="D295" s="564"/>
      <c r="E295" s="530"/>
      <c r="F295" s="530"/>
      <c r="G295" s="530"/>
      <c r="H295" s="530"/>
      <c r="I295" s="513"/>
      <c r="J295" s="514"/>
      <c r="K295" s="514"/>
      <c r="L295" s="514"/>
      <c r="M295" s="514"/>
      <c r="N295" s="514"/>
      <c r="O295" s="514"/>
      <c r="P295" s="514"/>
      <c r="Q295" s="514"/>
      <c r="R295" s="515"/>
      <c r="S295" s="515"/>
      <c r="T295" s="515"/>
      <c r="U295" s="515"/>
      <c r="V295" s="515"/>
      <c r="W295" s="515"/>
      <c r="X295" s="515"/>
      <c r="Y295" s="515"/>
    </row>
    <row r="296" spans="1:25" ht="15.75" customHeight="1">
      <c r="A296" s="697"/>
      <c r="B296" s="698"/>
      <c r="C296" s="537" t="s">
        <v>40</v>
      </c>
      <c r="D296" s="564"/>
      <c r="E296" s="530"/>
      <c r="F296" s="530"/>
      <c r="G296" s="530"/>
      <c r="H296" s="530"/>
      <c r="I296" s="513"/>
      <c r="J296" s="514"/>
      <c r="K296" s="514"/>
      <c r="L296" s="514"/>
      <c r="M296" s="514"/>
      <c r="N296" s="514"/>
      <c r="O296" s="514"/>
      <c r="P296" s="514"/>
      <c r="Q296" s="514"/>
      <c r="R296" s="515"/>
      <c r="S296" s="515"/>
      <c r="T296" s="515"/>
      <c r="U296" s="515"/>
      <c r="V296" s="515"/>
      <c r="W296" s="515"/>
      <c r="X296" s="515"/>
      <c r="Y296" s="515"/>
    </row>
    <row r="297" spans="1:25" ht="15.75" customHeight="1">
      <c r="A297" s="697"/>
      <c r="B297" s="698"/>
      <c r="C297" s="527" t="s">
        <v>202</v>
      </c>
      <c r="D297" s="564"/>
      <c r="E297" s="530"/>
      <c r="F297" s="530"/>
      <c r="G297" s="530"/>
      <c r="H297" s="530"/>
      <c r="I297" s="513"/>
      <c r="J297" s="514"/>
      <c r="K297" s="514"/>
      <c r="L297" s="514"/>
      <c r="M297" s="514"/>
      <c r="N297" s="514"/>
      <c r="O297" s="514"/>
      <c r="P297" s="514"/>
      <c r="Q297" s="514"/>
      <c r="R297" s="515"/>
      <c r="S297" s="515"/>
      <c r="T297" s="515"/>
      <c r="U297" s="515"/>
      <c r="V297" s="515"/>
      <c r="W297" s="515"/>
      <c r="X297" s="515"/>
      <c r="Y297" s="515"/>
    </row>
    <row r="298" spans="1:25" ht="15.75" customHeight="1">
      <c r="A298" s="697"/>
      <c r="B298" s="698"/>
      <c r="C298" s="537" t="s">
        <v>38</v>
      </c>
      <c r="D298" s="564"/>
      <c r="E298" s="530"/>
      <c r="F298" s="530"/>
      <c r="G298" s="530"/>
      <c r="H298" s="530"/>
      <c r="I298" s="513"/>
      <c r="J298" s="514"/>
      <c r="K298" s="514"/>
      <c r="L298" s="514"/>
      <c r="M298" s="514"/>
      <c r="N298" s="514"/>
      <c r="O298" s="514"/>
      <c r="P298" s="514"/>
      <c r="Q298" s="514"/>
      <c r="R298" s="515"/>
      <c r="S298" s="515"/>
      <c r="T298" s="515"/>
      <c r="U298" s="515"/>
      <c r="V298" s="515"/>
      <c r="W298" s="515"/>
      <c r="X298" s="515"/>
      <c r="Y298" s="515"/>
    </row>
    <row r="299" spans="1:25" ht="15.75" customHeight="1">
      <c r="A299" s="697"/>
      <c r="B299" s="698"/>
      <c r="C299" s="527" t="s">
        <v>203</v>
      </c>
      <c r="D299" s="564"/>
      <c r="E299" s="530"/>
      <c r="F299" s="530"/>
      <c r="G299" s="530"/>
      <c r="H299" s="530"/>
      <c r="I299" s="513"/>
      <c r="J299" s="514"/>
      <c r="K299" s="514"/>
      <c r="L299" s="514"/>
      <c r="M299" s="514"/>
      <c r="N299" s="514"/>
      <c r="O299" s="514"/>
      <c r="P299" s="514"/>
      <c r="Q299" s="514"/>
      <c r="R299" s="515"/>
      <c r="S299" s="515"/>
      <c r="T299" s="515"/>
      <c r="U299" s="515"/>
      <c r="V299" s="515"/>
      <c r="W299" s="515"/>
      <c r="X299" s="515"/>
      <c r="Y299" s="515"/>
    </row>
    <row r="300" spans="1:25" ht="15.75" customHeight="1">
      <c r="A300" s="697"/>
      <c r="B300" s="699"/>
      <c r="C300" s="554" t="s">
        <v>204</v>
      </c>
      <c r="D300" s="568"/>
      <c r="E300" s="535"/>
      <c r="F300" s="535"/>
      <c r="G300" s="535"/>
      <c r="H300" s="535"/>
      <c r="I300" s="513"/>
      <c r="J300" s="514"/>
      <c r="K300" s="514"/>
      <c r="L300" s="514"/>
      <c r="M300" s="514"/>
      <c r="N300" s="514"/>
      <c r="O300" s="514"/>
      <c r="P300" s="514"/>
      <c r="Q300" s="514"/>
      <c r="R300" s="515"/>
      <c r="S300" s="515"/>
      <c r="T300" s="515"/>
      <c r="U300" s="515"/>
      <c r="V300" s="515"/>
      <c r="W300" s="515"/>
      <c r="X300" s="515"/>
      <c r="Y300" s="515"/>
    </row>
    <row r="301" spans="1:25" ht="15.75" customHeight="1">
      <c r="A301" s="697"/>
      <c r="B301" s="527" t="s">
        <v>205</v>
      </c>
      <c r="C301" s="537" t="s">
        <v>1570</v>
      </c>
      <c r="D301" s="564"/>
      <c r="E301" s="541">
        <v>1</v>
      </c>
      <c r="F301" s="530" t="s">
        <v>196</v>
      </c>
      <c r="G301" s="530"/>
      <c r="H301" s="530"/>
      <c r="I301" s="513"/>
      <c r="J301" s="514"/>
      <c r="K301" s="514"/>
      <c r="L301" s="514"/>
      <c r="M301" s="514"/>
      <c r="N301" s="514"/>
      <c r="O301" s="514"/>
      <c r="P301" s="514"/>
      <c r="Q301" s="514"/>
      <c r="R301" s="515"/>
      <c r="S301" s="515"/>
      <c r="T301" s="515"/>
      <c r="U301" s="515"/>
      <c r="V301" s="515"/>
      <c r="W301" s="515"/>
      <c r="X301" s="515"/>
      <c r="Y301" s="515"/>
    </row>
    <row r="302" spans="1:25" ht="50" customHeight="1">
      <c r="A302" s="526"/>
      <c r="B302" s="527"/>
      <c r="C302" s="527" t="s">
        <v>206</v>
      </c>
      <c r="D302" s="564"/>
      <c r="E302" s="530"/>
      <c r="F302" s="530"/>
      <c r="G302" s="530"/>
      <c r="H302" s="530"/>
      <c r="I302" s="513"/>
      <c r="J302" s="514"/>
      <c r="K302" s="514"/>
      <c r="L302" s="514"/>
      <c r="M302" s="514"/>
      <c r="N302" s="514"/>
      <c r="O302" s="514"/>
      <c r="P302" s="514"/>
      <c r="Q302" s="514"/>
      <c r="R302" s="515"/>
      <c r="S302" s="515"/>
      <c r="T302" s="515"/>
      <c r="U302" s="515"/>
      <c r="V302" s="515"/>
      <c r="W302" s="515"/>
      <c r="X302" s="515"/>
      <c r="Y302" s="515"/>
    </row>
    <row r="303" spans="1:25" ht="15.75" customHeight="1">
      <c r="A303" s="526"/>
      <c r="B303" s="527"/>
      <c r="C303" s="537" t="s">
        <v>38</v>
      </c>
      <c r="D303" s="564"/>
      <c r="E303" s="530"/>
      <c r="F303" s="530"/>
      <c r="G303" s="530"/>
      <c r="H303" s="530"/>
      <c r="I303" s="513"/>
      <c r="J303" s="514"/>
      <c r="K303" s="514"/>
      <c r="L303" s="514"/>
      <c r="M303" s="514"/>
      <c r="N303" s="514"/>
      <c r="O303" s="514"/>
      <c r="P303" s="514"/>
      <c r="Q303" s="514"/>
      <c r="R303" s="515"/>
      <c r="S303" s="515"/>
      <c r="T303" s="515"/>
      <c r="U303" s="515"/>
      <c r="V303" s="515"/>
      <c r="W303" s="515"/>
      <c r="X303" s="515"/>
      <c r="Y303" s="515"/>
    </row>
    <row r="304" spans="1:25" ht="15.75" customHeight="1">
      <c r="A304" s="526"/>
      <c r="B304" s="527"/>
      <c r="C304" s="527" t="s">
        <v>203</v>
      </c>
      <c r="D304" s="564"/>
      <c r="E304" s="530"/>
      <c r="F304" s="530"/>
      <c r="G304" s="530"/>
      <c r="H304" s="530"/>
      <c r="I304" s="513"/>
      <c r="J304" s="514"/>
      <c r="K304" s="514"/>
      <c r="L304" s="514"/>
      <c r="M304" s="514"/>
      <c r="N304" s="514"/>
      <c r="O304" s="514"/>
      <c r="P304" s="514"/>
      <c r="Q304" s="514"/>
      <c r="R304" s="515"/>
      <c r="S304" s="515"/>
      <c r="T304" s="515"/>
      <c r="U304" s="515"/>
      <c r="V304" s="515"/>
      <c r="W304" s="515"/>
      <c r="X304" s="515"/>
      <c r="Y304" s="515"/>
    </row>
    <row r="305" spans="1:25" ht="15.75" customHeight="1">
      <c r="A305" s="526"/>
      <c r="B305" s="527"/>
      <c r="C305" s="537" t="s">
        <v>40</v>
      </c>
      <c r="D305" s="564"/>
      <c r="E305" s="530"/>
      <c r="F305" s="530"/>
      <c r="G305" s="530"/>
      <c r="H305" s="530"/>
      <c r="I305" s="513"/>
      <c r="J305" s="514"/>
      <c r="K305" s="514"/>
      <c r="L305" s="514"/>
      <c r="M305" s="514"/>
      <c r="N305" s="514"/>
      <c r="O305" s="514"/>
      <c r="P305" s="514"/>
      <c r="Q305" s="514"/>
      <c r="R305" s="515"/>
      <c r="S305" s="515"/>
      <c r="T305" s="515"/>
      <c r="U305" s="515"/>
      <c r="V305" s="515"/>
      <c r="W305" s="515"/>
      <c r="X305" s="515"/>
      <c r="Y305" s="515"/>
    </row>
    <row r="306" spans="1:25" ht="15.75" customHeight="1">
      <c r="A306" s="526"/>
      <c r="B306" s="527"/>
      <c r="C306" s="527" t="s">
        <v>202</v>
      </c>
      <c r="D306" s="564"/>
      <c r="E306" s="530"/>
      <c r="F306" s="530"/>
      <c r="G306" s="530"/>
      <c r="H306" s="530"/>
      <c r="I306" s="513"/>
      <c r="J306" s="514"/>
      <c r="K306" s="514"/>
      <c r="L306" s="514"/>
      <c r="M306" s="514"/>
      <c r="N306" s="514"/>
      <c r="O306" s="514"/>
      <c r="P306" s="514"/>
      <c r="Q306" s="514"/>
      <c r="R306" s="515"/>
      <c r="S306" s="515"/>
      <c r="T306" s="515"/>
      <c r="U306" s="515"/>
      <c r="V306" s="515"/>
      <c r="W306" s="515"/>
      <c r="X306" s="515"/>
      <c r="Y306" s="515"/>
    </row>
    <row r="307" spans="1:25" ht="15.75" customHeight="1">
      <c r="A307" s="717" t="s">
        <v>207</v>
      </c>
      <c r="B307" s="717"/>
      <c r="C307" s="717"/>
      <c r="D307" s="717"/>
      <c r="E307" s="719"/>
      <c r="F307" s="719"/>
      <c r="G307" s="719"/>
      <c r="H307" s="719"/>
      <c r="I307" s="513"/>
      <c r="J307" s="514"/>
      <c r="K307" s="514"/>
      <c r="L307" s="514"/>
      <c r="M307" s="514"/>
      <c r="N307" s="514"/>
      <c r="O307" s="514"/>
      <c r="P307" s="514"/>
      <c r="Q307" s="514"/>
      <c r="R307" s="515"/>
      <c r="S307" s="515"/>
      <c r="T307" s="515"/>
      <c r="U307" s="515"/>
      <c r="V307" s="515"/>
      <c r="W307" s="515"/>
      <c r="X307" s="515"/>
      <c r="Y307" s="515"/>
    </row>
    <row r="308" spans="1:25" ht="15.75" customHeight="1">
      <c r="A308" s="697" t="s">
        <v>155</v>
      </c>
      <c r="B308" s="698" t="s">
        <v>161</v>
      </c>
      <c r="C308" s="537" t="s">
        <v>1570</v>
      </c>
      <c r="D308" s="564"/>
      <c r="E308" s="541">
        <v>1</v>
      </c>
      <c r="F308" s="530" t="s">
        <v>196</v>
      </c>
      <c r="G308" s="530"/>
      <c r="H308" s="530"/>
      <c r="I308" s="513"/>
      <c r="J308" s="514"/>
      <c r="K308" s="514"/>
      <c r="L308" s="514"/>
      <c r="M308" s="514"/>
      <c r="N308" s="514"/>
      <c r="O308" s="514"/>
      <c r="P308" s="514"/>
      <c r="Q308" s="514"/>
      <c r="R308" s="515"/>
      <c r="S308" s="515"/>
      <c r="T308" s="515"/>
      <c r="U308" s="515"/>
      <c r="V308" s="515"/>
      <c r="W308" s="515"/>
      <c r="X308" s="515"/>
      <c r="Y308" s="515"/>
    </row>
    <row r="309" spans="1:25" ht="39.25" customHeight="1">
      <c r="A309" s="697"/>
      <c r="B309" s="698"/>
      <c r="C309" s="527" t="s">
        <v>208</v>
      </c>
      <c r="D309" s="564"/>
      <c r="E309" s="530"/>
      <c r="F309" s="530"/>
      <c r="G309" s="530"/>
      <c r="H309" s="530"/>
      <c r="I309" s="513"/>
      <c r="J309" s="514"/>
      <c r="K309" s="514"/>
      <c r="L309" s="514"/>
      <c r="M309" s="514"/>
      <c r="N309" s="514"/>
      <c r="O309" s="514"/>
      <c r="P309" s="514"/>
      <c r="Q309" s="514"/>
      <c r="R309" s="515"/>
      <c r="S309" s="515"/>
      <c r="T309" s="515"/>
      <c r="U309" s="515"/>
      <c r="V309" s="515"/>
      <c r="W309" s="515"/>
      <c r="X309" s="515"/>
      <c r="Y309" s="515"/>
    </row>
    <row r="310" spans="1:25" ht="15.75" customHeight="1">
      <c r="A310" s="697"/>
      <c r="B310" s="698"/>
      <c r="C310" s="537" t="s">
        <v>38</v>
      </c>
      <c r="D310" s="564"/>
      <c r="E310" s="530"/>
      <c r="F310" s="530"/>
      <c r="G310" s="530"/>
      <c r="H310" s="530"/>
      <c r="I310" s="513"/>
      <c r="J310" s="514"/>
      <c r="K310" s="514"/>
      <c r="L310" s="514"/>
      <c r="M310" s="514"/>
      <c r="N310" s="514"/>
      <c r="O310" s="514"/>
      <c r="P310" s="514"/>
      <c r="Q310" s="514"/>
      <c r="R310" s="515"/>
      <c r="S310" s="515"/>
      <c r="T310" s="515"/>
      <c r="U310" s="515"/>
      <c r="V310" s="515"/>
      <c r="W310" s="515"/>
      <c r="X310" s="515"/>
      <c r="Y310" s="515"/>
    </row>
    <row r="311" spans="1:25" ht="15.75" customHeight="1">
      <c r="A311" s="697"/>
      <c r="B311" s="698"/>
      <c r="C311" s="527" t="s">
        <v>171</v>
      </c>
      <c r="D311" s="564"/>
      <c r="E311" s="530"/>
      <c r="F311" s="530"/>
      <c r="G311" s="530"/>
      <c r="H311" s="530"/>
      <c r="I311" s="513"/>
      <c r="J311" s="514"/>
      <c r="K311" s="514"/>
      <c r="L311" s="514"/>
      <c r="M311" s="514"/>
      <c r="N311" s="514"/>
      <c r="O311" s="514"/>
      <c r="P311" s="514"/>
      <c r="Q311" s="514"/>
      <c r="R311" s="515"/>
      <c r="S311" s="515"/>
      <c r="T311" s="515"/>
      <c r="U311" s="515"/>
      <c r="V311" s="515"/>
      <c r="W311" s="515"/>
      <c r="X311" s="515"/>
      <c r="Y311" s="515"/>
    </row>
    <row r="312" spans="1:25" ht="15.75" customHeight="1">
      <c r="A312" s="697"/>
      <c r="B312" s="698"/>
      <c r="C312" s="553" t="s">
        <v>47</v>
      </c>
      <c r="D312" s="564"/>
      <c r="E312" s="530"/>
      <c r="F312" s="530"/>
      <c r="G312" s="530"/>
      <c r="H312" s="530"/>
      <c r="I312" s="513"/>
      <c r="J312" s="514"/>
      <c r="K312" s="514"/>
      <c r="L312" s="514"/>
      <c r="M312" s="514"/>
      <c r="N312" s="514"/>
      <c r="O312" s="514"/>
      <c r="P312" s="514"/>
      <c r="Q312" s="514"/>
      <c r="R312" s="515"/>
      <c r="S312" s="515"/>
      <c r="T312" s="515"/>
      <c r="U312" s="515"/>
      <c r="V312" s="515"/>
      <c r="W312" s="515"/>
      <c r="X312" s="515"/>
      <c r="Y312" s="515"/>
    </row>
    <row r="313" spans="1:25" ht="15.75" customHeight="1">
      <c r="A313" s="697"/>
      <c r="B313" s="698"/>
      <c r="C313" s="495" t="s">
        <v>135</v>
      </c>
      <c r="D313" s="564"/>
      <c r="E313" s="530"/>
      <c r="F313" s="530"/>
      <c r="G313" s="530"/>
      <c r="H313" s="530"/>
      <c r="I313" s="513"/>
      <c r="J313" s="514"/>
      <c r="K313" s="514"/>
      <c r="L313" s="514"/>
      <c r="M313" s="514"/>
      <c r="N313" s="514"/>
      <c r="O313" s="514"/>
      <c r="P313" s="514"/>
      <c r="Q313" s="514"/>
      <c r="R313" s="515"/>
      <c r="S313" s="515"/>
      <c r="T313" s="515"/>
      <c r="U313" s="515"/>
      <c r="V313" s="515"/>
      <c r="W313" s="515"/>
      <c r="X313" s="515"/>
      <c r="Y313" s="515"/>
    </row>
    <row r="314" spans="1:25" ht="15.75" customHeight="1">
      <c r="A314" s="697"/>
      <c r="B314" s="698"/>
      <c r="C314" s="495" t="s">
        <v>197</v>
      </c>
      <c r="D314" s="564"/>
      <c r="E314" s="530"/>
      <c r="F314" s="530"/>
      <c r="G314" s="530"/>
      <c r="H314" s="530"/>
      <c r="I314" s="513"/>
      <c r="J314" s="514"/>
      <c r="K314" s="514"/>
      <c r="L314" s="514"/>
      <c r="M314" s="514"/>
      <c r="N314" s="514"/>
      <c r="O314" s="514"/>
      <c r="P314" s="514"/>
      <c r="Q314" s="514"/>
      <c r="R314" s="515"/>
      <c r="S314" s="515"/>
      <c r="T314" s="515"/>
      <c r="U314" s="515"/>
      <c r="V314" s="515"/>
      <c r="W314" s="515"/>
      <c r="X314" s="515"/>
      <c r="Y314" s="515"/>
    </row>
    <row r="315" spans="1:25" ht="15.75" customHeight="1">
      <c r="A315" s="697"/>
      <c r="B315" s="698"/>
      <c r="C315" s="495" t="s">
        <v>84</v>
      </c>
      <c r="D315" s="564"/>
      <c r="E315" s="530"/>
      <c r="F315" s="530"/>
      <c r="G315" s="530"/>
      <c r="H315" s="530"/>
      <c r="I315" s="513"/>
      <c r="J315" s="514"/>
      <c r="K315" s="514"/>
      <c r="L315" s="514"/>
      <c r="M315" s="514"/>
      <c r="N315" s="514"/>
      <c r="O315" s="514"/>
      <c r="P315" s="514"/>
      <c r="Q315" s="514"/>
      <c r="R315" s="515"/>
      <c r="S315" s="515"/>
      <c r="T315" s="515"/>
      <c r="U315" s="515"/>
      <c r="V315" s="515"/>
      <c r="W315" s="515"/>
      <c r="X315" s="515"/>
      <c r="Y315" s="515"/>
    </row>
    <row r="316" spans="1:25" ht="15.75" customHeight="1">
      <c r="A316" s="697"/>
      <c r="B316" s="698"/>
      <c r="C316" s="495" t="s">
        <v>73</v>
      </c>
      <c r="D316" s="564"/>
      <c r="E316" s="530"/>
      <c r="F316" s="530"/>
      <c r="G316" s="530"/>
      <c r="H316" s="530"/>
      <c r="I316" s="513"/>
      <c r="J316" s="514"/>
      <c r="K316" s="514"/>
      <c r="L316" s="514"/>
      <c r="M316" s="514"/>
      <c r="N316" s="514"/>
      <c r="O316" s="514"/>
      <c r="P316" s="514"/>
      <c r="Q316" s="514"/>
      <c r="R316" s="515"/>
      <c r="S316" s="515"/>
      <c r="T316" s="515"/>
      <c r="U316" s="515"/>
      <c r="V316" s="515"/>
      <c r="W316" s="515"/>
      <c r="X316" s="515"/>
      <c r="Y316" s="515"/>
    </row>
    <row r="317" spans="1:25" ht="15.75" customHeight="1">
      <c r="A317" s="697"/>
      <c r="B317" s="698"/>
      <c r="C317" s="527" t="s">
        <v>166</v>
      </c>
      <c r="D317" s="564"/>
      <c r="E317" s="530"/>
      <c r="F317" s="530"/>
      <c r="G317" s="530"/>
      <c r="H317" s="530"/>
      <c r="I317" s="513"/>
      <c r="J317" s="514"/>
      <c r="K317" s="514"/>
      <c r="L317" s="514"/>
      <c r="M317" s="514"/>
      <c r="N317" s="514"/>
      <c r="O317" s="514"/>
      <c r="P317" s="514"/>
      <c r="Q317" s="514"/>
      <c r="R317" s="515"/>
      <c r="S317" s="515"/>
      <c r="T317" s="515"/>
      <c r="U317" s="515"/>
      <c r="V317" s="515"/>
      <c r="W317" s="515"/>
      <c r="X317" s="515"/>
      <c r="Y317" s="515"/>
    </row>
    <row r="318" spans="1:25" ht="26.75" customHeight="1">
      <c r="A318" s="697"/>
      <c r="B318" s="698"/>
      <c r="C318" s="495" t="s">
        <v>1602</v>
      </c>
      <c r="D318" s="564"/>
      <c r="E318" s="530"/>
      <c r="F318" s="530"/>
      <c r="G318" s="530"/>
      <c r="H318" s="530"/>
      <c r="I318" s="513"/>
      <c r="J318" s="514"/>
      <c r="K318" s="514"/>
      <c r="L318" s="514"/>
      <c r="M318" s="514"/>
      <c r="N318" s="514"/>
      <c r="O318" s="514"/>
      <c r="P318" s="514"/>
      <c r="Q318" s="514"/>
      <c r="R318" s="515"/>
      <c r="S318" s="515"/>
      <c r="T318" s="515"/>
      <c r="U318" s="515"/>
      <c r="V318" s="515"/>
      <c r="W318" s="515"/>
      <c r="X318" s="515"/>
      <c r="Y318" s="515"/>
    </row>
    <row r="319" spans="1:25" ht="15.75" customHeight="1">
      <c r="A319" s="697"/>
      <c r="B319" s="698"/>
      <c r="C319" s="495" t="s">
        <v>1597</v>
      </c>
      <c r="D319" s="564"/>
      <c r="E319" s="530"/>
      <c r="F319" s="530"/>
      <c r="G319" s="530"/>
      <c r="H319" s="530"/>
      <c r="I319" s="513"/>
      <c r="J319" s="514"/>
      <c r="K319" s="514"/>
      <c r="L319" s="514"/>
      <c r="M319" s="514"/>
      <c r="N319" s="514"/>
      <c r="O319" s="514"/>
      <c r="P319" s="514"/>
      <c r="Q319" s="514"/>
      <c r="R319" s="515"/>
      <c r="S319" s="515"/>
      <c r="T319" s="515"/>
      <c r="U319" s="515"/>
      <c r="V319" s="515"/>
      <c r="W319" s="515"/>
      <c r="X319" s="515"/>
      <c r="Y319" s="515"/>
    </row>
    <row r="320" spans="1:25">
      <c r="A320" s="697"/>
      <c r="B320" s="698"/>
      <c r="C320" s="495" t="s">
        <v>1598</v>
      </c>
      <c r="D320" s="564"/>
      <c r="E320" s="530"/>
      <c r="F320" s="530"/>
      <c r="G320" s="530"/>
      <c r="H320" s="530"/>
      <c r="I320" s="513"/>
      <c r="J320" s="514"/>
      <c r="K320" s="514"/>
      <c r="L320" s="514"/>
      <c r="M320" s="514"/>
      <c r="N320" s="514"/>
      <c r="O320" s="514"/>
      <c r="P320" s="514"/>
      <c r="Q320" s="514"/>
      <c r="R320" s="515"/>
      <c r="S320" s="515"/>
      <c r="T320" s="515"/>
      <c r="U320" s="515"/>
      <c r="V320" s="515"/>
      <c r="W320" s="515"/>
      <c r="X320" s="515"/>
      <c r="Y320" s="515"/>
    </row>
    <row r="321" spans="1:25" ht="26.75" customHeight="1">
      <c r="A321" s="697"/>
      <c r="B321" s="698"/>
      <c r="C321" s="495" t="s">
        <v>198</v>
      </c>
      <c r="D321" s="564"/>
      <c r="E321" s="530"/>
      <c r="F321" s="530"/>
      <c r="G321" s="530"/>
      <c r="H321" s="530"/>
      <c r="I321" s="513"/>
      <c r="J321" s="514"/>
      <c r="K321" s="514"/>
      <c r="L321" s="514"/>
      <c r="M321" s="514"/>
      <c r="N321" s="514"/>
      <c r="O321" s="514"/>
      <c r="P321" s="514"/>
      <c r="Q321" s="514"/>
      <c r="R321" s="515"/>
      <c r="S321" s="515"/>
      <c r="T321" s="515"/>
      <c r="U321" s="515"/>
      <c r="V321" s="515"/>
      <c r="W321" s="515"/>
      <c r="X321" s="515"/>
      <c r="Y321" s="515"/>
    </row>
    <row r="322" spans="1:25" ht="15.75" customHeight="1">
      <c r="A322" s="697"/>
      <c r="B322" s="698"/>
      <c r="C322" s="528" t="s">
        <v>209</v>
      </c>
      <c r="D322" s="564"/>
      <c r="E322" s="530"/>
      <c r="F322" s="530"/>
      <c r="G322" s="530"/>
      <c r="H322" s="530"/>
      <c r="I322" s="513"/>
      <c r="J322" s="514"/>
      <c r="K322" s="514"/>
      <c r="L322" s="514"/>
      <c r="M322" s="514"/>
      <c r="N322" s="514"/>
      <c r="O322" s="514"/>
      <c r="P322" s="514"/>
      <c r="Q322" s="514"/>
      <c r="R322" s="515"/>
      <c r="S322" s="515"/>
      <c r="T322" s="515"/>
      <c r="U322" s="515"/>
      <c r="V322" s="515"/>
      <c r="W322" s="515"/>
      <c r="X322" s="515"/>
      <c r="Y322" s="515"/>
    </row>
    <row r="323" spans="1:25" ht="15.75" customHeight="1">
      <c r="A323" s="697"/>
      <c r="B323" s="698"/>
      <c r="C323" s="528" t="s">
        <v>210</v>
      </c>
      <c r="D323" s="564"/>
      <c r="E323" s="530"/>
      <c r="F323" s="530"/>
      <c r="G323" s="530"/>
      <c r="H323" s="530"/>
      <c r="I323" s="513"/>
      <c r="J323" s="514"/>
      <c r="K323" s="514"/>
      <c r="L323" s="514"/>
      <c r="M323" s="514"/>
      <c r="N323" s="514"/>
      <c r="O323" s="514"/>
      <c r="P323" s="514"/>
      <c r="Q323" s="514"/>
      <c r="R323" s="515"/>
      <c r="S323" s="515"/>
      <c r="T323" s="515"/>
      <c r="U323" s="515"/>
      <c r="V323" s="515"/>
      <c r="W323" s="515"/>
      <c r="X323" s="515"/>
      <c r="Y323" s="515"/>
    </row>
    <row r="324" spans="1:25" ht="15.75" customHeight="1">
      <c r="A324" s="718"/>
      <c r="B324" s="699"/>
      <c r="C324" s="554" t="s">
        <v>211</v>
      </c>
      <c r="D324" s="568"/>
      <c r="E324" s="535"/>
      <c r="F324" s="535"/>
      <c r="G324" s="535"/>
      <c r="H324" s="535"/>
      <c r="I324" s="513"/>
      <c r="J324" s="514"/>
      <c r="K324" s="514"/>
      <c r="L324" s="514"/>
      <c r="M324" s="514"/>
      <c r="N324" s="514"/>
      <c r="O324" s="514"/>
      <c r="P324" s="514"/>
      <c r="Q324" s="514"/>
      <c r="R324" s="515"/>
      <c r="S324" s="515"/>
      <c r="T324" s="515"/>
      <c r="U324" s="515"/>
      <c r="V324" s="515"/>
      <c r="W324" s="515"/>
      <c r="X324" s="515"/>
      <c r="Y324" s="515"/>
    </row>
    <row r="325" spans="1:25" ht="15.75" customHeight="1">
      <c r="A325" s="697" t="s">
        <v>212</v>
      </c>
      <c r="B325" s="698" t="s">
        <v>213</v>
      </c>
      <c r="C325" s="537" t="s">
        <v>1570</v>
      </c>
      <c r="D325" s="564"/>
      <c r="E325" s="541">
        <v>10</v>
      </c>
      <c r="F325" s="530" t="s">
        <v>194</v>
      </c>
      <c r="G325" s="530"/>
      <c r="H325" s="530"/>
      <c r="I325" s="513"/>
      <c r="J325" s="514"/>
      <c r="K325" s="514"/>
      <c r="L325" s="514"/>
      <c r="M325" s="514"/>
      <c r="N325" s="514"/>
      <c r="O325" s="514"/>
      <c r="P325" s="514"/>
      <c r="Q325" s="514"/>
      <c r="R325" s="515"/>
      <c r="S325" s="515"/>
      <c r="T325" s="515"/>
      <c r="U325" s="515"/>
      <c r="V325" s="515"/>
      <c r="W325" s="515"/>
      <c r="X325" s="515"/>
      <c r="Y325" s="515"/>
    </row>
    <row r="326" spans="1:25" ht="50" customHeight="1">
      <c r="A326" s="697"/>
      <c r="B326" s="698"/>
      <c r="C326" s="527" t="s">
        <v>214</v>
      </c>
      <c r="D326" s="564"/>
      <c r="E326" s="530"/>
      <c r="F326" s="530"/>
      <c r="G326" s="530"/>
      <c r="H326" s="530"/>
      <c r="I326" s="513"/>
      <c r="J326" s="514"/>
      <c r="K326" s="514"/>
      <c r="L326" s="514"/>
      <c r="M326" s="514"/>
      <c r="N326" s="514"/>
      <c r="O326" s="514"/>
      <c r="P326" s="514"/>
      <c r="Q326" s="514"/>
      <c r="R326" s="515"/>
      <c r="S326" s="515"/>
      <c r="T326" s="515"/>
      <c r="U326" s="515"/>
      <c r="V326" s="515"/>
      <c r="W326" s="515"/>
      <c r="X326" s="515"/>
      <c r="Y326" s="515"/>
    </row>
    <row r="327" spans="1:25" ht="15.75" customHeight="1">
      <c r="A327" s="697"/>
      <c r="B327" s="698"/>
      <c r="C327" s="537" t="s">
        <v>38</v>
      </c>
      <c r="D327" s="564"/>
      <c r="E327" s="530"/>
      <c r="F327" s="530"/>
      <c r="G327" s="530"/>
      <c r="H327" s="530"/>
      <c r="I327" s="513"/>
      <c r="J327" s="514"/>
      <c r="K327" s="514"/>
      <c r="L327" s="514"/>
      <c r="M327" s="514"/>
      <c r="N327" s="514"/>
      <c r="O327" s="514"/>
      <c r="P327" s="514"/>
      <c r="Q327" s="514"/>
      <c r="R327" s="515"/>
      <c r="S327" s="515"/>
      <c r="T327" s="515"/>
      <c r="U327" s="515"/>
      <c r="V327" s="515"/>
      <c r="W327" s="515"/>
      <c r="X327" s="515"/>
      <c r="Y327" s="515"/>
    </row>
    <row r="328" spans="1:25" ht="15.75" customHeight="1">
      <c r="A328" s="697"/>
      <c r="B328" s="698"/>
      <c r="C328" s="527" t="s">
        <v>171</v>
      </c>
      <c r="D328" s="564"/>
      <c r="E328" s="530"/>
      <c r="F328" s="530"/>
      <c r="G328" s="530"/>
      <c r="H328" s="530"/>
      <c r="I328" s="513"/>
      <c r="J328" s="514"/>
      <c r="K328" s="514"/>
      <c r="L328" s="514"/>
      <c r="M328" s="514"/>
      <c r="N328" s="514"/>
      <c r="O328" s="514"/>
      <c r="P328" s="514"/>
      <c r="Q328" s="514"/>
      <c r="R328" s="515"/>
      <c r="S328" s="515"/>
      <c r="T328" s="515"/>
      <c r="U328" s="515"/>
      <c r="V328" s="515"/>
      <c r="W328" s="515"/>
      <c r="X328" s="515"/>
      <c r="Y328" s="515"/>
    </row>
    <row r="329" spans="1:25" ht="15.75" customHeight="1">
      <c r="A329" s="697"/>
      <c r="B329" s="698"/>
      <c r="C329" s="553" t="s">
        <v>47</v>
      </c>
      <c r="D329" s="564"/>
      <c r="E329" s="530"/>
      <c r="F329" s="530"/>
      <c r="G329" s="530"/>
      <c r="H329" s="530"/>
      <c r="I329" s="513"/>
      <c r="J329" s="514"/>
      <c r="K329" s="514"/>
      <c r="L329" s="514"/>
      <c r="M329" s="514"/>
      <c r="N329" s="514"/>
      <c r="O329" s="514"/>
      <c r="P329" s="514"/>
      <c r="Q329" s="514"/>
      <c r="R329" s="515"/>
      <c r="S329" s="515"/>
      <c r="T329" s="515"/>
      <c r="U329" s="515"/>
      <c r="V329" s="515"/>
      <c r="W329" s="515"/>
      <c r="X329" s="515"/>
      <c r="Y329" s="515"/>
    </row>
    <row r="330" spans="1:25" ht="15.75" customHeight="1">
      <c r="A330" s="697"/>
      <c r="B330" s="698"/>
      <c r="C330" s="528" t="s">
        <v>215</v>
      </c>
      <c r="D330" s="564"/>
      <c r="E330" s="530"/>
      <c r="F330" s="530"/>
      <c r="G330" s="530"/>
      <c r="H330" s="530"/>
      <c r="I330" s="513"/>
      <c r="J330" s="514"/>
      <c r="K330" s="514"/>
      <c r="L330" s="514"/>
      <c r="M330" s="514"/>
      <c r="N330" s="514"/>
      <c r="O330" s="514"/>
      <c r="P330" s="514"/>
      <c r="Q330" s="514"/>
      <c r="R330" s="515"/>
      <c r="S330" s="515"/>
      <c r="T330" s="515"/>
      <c r="U330" s="515"/>
      <c r="V330" s="515"/>
      <c r="W330" s="515"/>
      <c r="X330" s="515"/>
      <c r="Y330" s="515"/>
    </row>
    <row r="331" spans="1:25" ht="15.75" customHeight="1">
      <c r="A331" s="697"/>
      <c r="B331" s="698"/>
      <c r="C331" s="528" t="s">
        <v>216</v>
      </c>
      <c r="D331" s="564"/>
      <c r="E331" s="530"/>
      <c r="F331" s="530"/>
      <c r="G331" s="530"/>
      <c r="H331" s="530"/>
      <c r="I331" s="513"/>
      <c r="J331" s="514"/>
      <c r="K331" s="514"/>
      <c r="L331" s="514"/>
      <c r="M331" s="514"/>
      <c r="N331" s="514"/>
      <c r="O331" s="514"/>
      <c r="P331" s="514"/>
      <c r="Q331" s="514"/>
      <c r="R331" s="515"/>
      <c r="S331" s="515"/>
      <c r="T331" s="515"/>
      <c r="U331" s="515"/>
      <c r="V331" s="515"/>
      <c r="W331" s="515"/>
      <c r="X331" s="515"/>
      <c r="Y331" s="515"/>
    </row>
    <row r="332" spans="1:25" ht="15.75" customHeight="1">
      <c r="A332" s="697"/>
      <c r="B332" s="698"/>
      <c r="C332" s="528" t="s">
        <v>209</v>
      </c>
      <c r="D332" s="564"/>
      <c r="E332" s="530"/>
      <c r="F332" s="530"/>
      <c r="G332" s="530"/>
      <c r="H332" s="530"/>
      <c r="I332" s="513"/>
      <c r="J332" s="514"/>
      <c r="K332" s="514"/>
      <c r="L332" s="514"/>
      <c r="M332" s="514"/>
      <c r="N332" s="514"/>
      <c r="O332" s="514"/>
      <c r="P332" s="514"/>
      <c r="Q332" s="514"/>
      <c r="R332" s="515"/>
      <c r="S332" s="515"/>
      <c r="T332" s="515"/>
      <c r="U332" s="515"/>
      <c r="V332" s="515"/>
      <c r="W332" s="515"/>
      <c r="X332" s="515"/>
      <c r="Y332" s="515"/>
    </row>
    <row r="333" spans="1:25" ht="15.75" customHeight="1">
      <c r="A333" s="697"/>
      <c r="B333" s="698"/>
      <c r="C333" s="528" t="s">
        <v>210</v>
      </c>
      <c r="D333" s="564"/>
      <c r="E333" s="530"/>
      <c r="F333" s="530"/>
      <c r="G333" s="530"/>
      <c r="H333" s="530"/>
      <c r="I333" s="513"/>
      <c r="J333" s="514"/>
      <c r="K333" s="514"/>
      <c r="L333" s="514"/>
      <c r="M333" s="514"/>
      <c r="N333" s="514"/>
      <c r="O333" s="514"/>
      <c r="P333" s="514"/>
      <c r="Q333" s="514"/>
      <c r="R333" s="515"/>
      <c r="S333" s="515"/>
      <c r="T333" s="515"/>
      <c r="U333" s="515"/>
      <c r="V333" s="515"/>
      <c r="W333" s="515"/>
      <c r="X333" s="515"/>
      <c r="Y333" s="515"/>
    </row>
    <row r="334" spans="1:25" ht="15.75" customHeight="1">
      <c r="A334" s="697"/>
      <c r="B334" s="698"/>
      <c r="C334" s="492" t="s">
        <v>217</v>
      </c>
      <c r="D334" s="564"/>
      <c r="E334" s="530"/>
      <c r="F334" s="530"/>
      <c r="G334" s="530"/>
      <c r="H334" s="530"/>
      <c r="I334" s="513"/>
      <c r="J334" s="514"/>
      <c r="K334" s="514"/>
      <c r="L334" s="514"/>
      <c r="M334" s="514"/>
      <c r="N334" s="514"/>
      <c r="O334" s="514"/>
      <c r="P334" s="514"/>
      <c r="Q334" s="514"/>
      <c r="R334" s="515"/>
      <c r="S334" s="515"/>
      <c r="T334" s="515"/>
      <c r="U334" s="515"/>
      <c r="V334" s="515"/>
      <c r="W334" s="515"/>
      <c r="X334" s="515"/>
      <c r="Y334" s="515"/>
    </row>
    <row r="335" spans="1:25" ht="15.75" customHeight="1">
      <c r="A335" s="717" t="s">
        <v>218</v>
      </c>
      <c r="B335" s="717"/>
      <c r="C335" s="717"/>
      <c r="D335" s="717"/>
      <c r="E335" s="719"/>
      <c r="F335" s="719"/>
      <c r="G335" s="719"/>
      <c r="H335" s="719"/>
      <c r="I335" s="513"/>
      <c r="J335" s="514"/>
      <c r="K335" s="514"/>
      <c r="L335" s="514"/>
      <c r="M335" s="514"/>
      <c r="N335" s="514"/>
      <c r="O335" s="514"/>
      <c r="P335" s="514"/>
      <c r="Q335" s="514"/>
      <c r="R335" s="515"/>
      <c r="S335" s="515"/>
      <c r="T335" s="515"/>
      <c r="U335" s="515"/>
      <c r="V335" s="515"/>
      <c r="W335" s="515"/>
      <c r="X335" s="515"/>
      <c r="Y335" s="515"/>
    </row>
    <row r="336" spans="1:25" ht="26">
      <c r="A336" s="697" t="s">
        <v>155</v>
      </c>
      <c r="B336" s="698" t="s">
        <v>161</v>
      </c>
      <c r="C336" s="537" t="s">
        <v>1570</v>
      </c>
      <c r="D336" s="564"/>
      <c r="E336" s="530"/>
      <c r="F336" s="541">
        <v>1</v>
      </c>
      <c r="G336" s="530" t="s">
        <v>1565</v>
      </c>
      <c r="H336" s="530"/>
      <c r="I336" s="513"/>
      <c r="J336" s="514"/>
      <c r="K336" s="514"/>
      <c r="L336" s="514"/>
      <c r="M336" s="514"/>
      <c r="N336" s="514"/>
      <c r="O336" s="514"/>
      <c r="P336" s="514"/>
      <c r="Q336" s="514"/>
      <c r="R336" s="515"/>
      <c r="S336" s="515"/>
      <c r="T336" s="515"/>
      <c r="U336" s="515"/>
      <c r="V336" s="515"/>
      <c r="W336" s="515"/>
      <c r="X336" s="515"/>
      <c r="Y336" s="515"/>
    </row>
    <row r="337" spans="1:25" ht="26.75" customHeight="1">
      <c r="A337" s="697"/>
      <c r="B337" s="698"/>
      <c r="C337" s="527" t="s">
        <v>219</v>
      </c>
      <c r="D337" s="564"/>
      <c r="E337" s="530"/>
      <c r="F337" s="530"/>
      <c r="G337" s="530"/>
      <c r="H337" s="530"/>
      <c r="I337" s="513"/>
      <c r="J337" s="514"/>
      <c r="K337" s="514"/>
      <c r="L337" s="514"/>
      <c r="M337" s="514"/>
      <c r="N337" s="514"/>
      <c r="O337" s="514"/>
      <c r="P337" s="514"/>
      <c r="Q337" s="514"/>
      <c r="R337" s="515"/>
      <c r="S337" s="515"/>
      <c r="T337" s="515"/>
      <c r="U337" s="515"/>
      <c r="V337" s="515"/>
      <c r="W337" s="515"/>
      <c r="X337" s="515"/>
      <c r="Y337" s="515"/>
    </row>
    <row r="338" spans="1:25" ht="15.75" customHeight="1">
      <c r="A338" s="697"/>
      <c r="B338" s="698"/>
      <c r="C338" s="553" t="s">
        <v>47</v>
      </c>
      <c r="D338" s="564"/>
      <c r="E338" s="530"/>
      <c r="F338" s="530"/>
      <c r="G338" s="530"/>
      <c r="H338" s="530"/>
      <c r="I338" s="513"/>
      <c r="J338" s="514"/>
      <c r="K338" s="514"/>
      <c r="L338" s="514"/>
      <c r="M338" s="514"/>
      <c r="N338" s="514"/>
      <c r="O338" s="514"/>
      <c r="P338" s="514"/>
      <c r="Q338" s="514"/>
      <c r="R338" s="515"/>
      <c r="S338" s="515"/>
      <c r="T338" s="515"/>
      <c r="U338" s="515"/>
      <c r="V338" s="515"/>
      <c r="W338" s="515"/>
      <c r="X338" s="515"/>
      <c r="Y338" s="515"/>
    </row>
    <row r="339" spans="1:25" ht="15.75" customHeight="1">
      <c r="A339" s="697"/>
      <c r="B339" s="698"/>
      <c r="C339" s="495" t="s">
        <v>73</v>
      </c>
      <c r="D339" s="564"/>
      <c r="E339" s="530"/>
      <c r="F339" s="530"/>
      <c r="G339" s="530"/>
      <c r="H339" s="530"/>
      <c r="I339" s="513"/>
      <c r="J339" s="514"/>
      <c r="K339" s="514"/>
      <c r="L339" s="514"/>
      <c r="M339" s="514"/>
      <c r="N339" s="514"/>
      <c r="O339" s="514"/>
      <c r="P339" s="514"/>
      <c r="Q339" s="514"/>
      <c r="R339" s="515"/>
      <c r="S339" s="515"/>
      <c r="T339" s="515"/>
      <c r="U339" s="515"/>
      <c r="V339" s="515"/>
      <c r="W339" s="515"/>
      <c r="X339" s="515"/>
      <c r="Y339" s="515"/>
    </row>
    <row r="340" spans="1:25" ht="15.75" customHeight="1">
      <c r="A340" s="718"/>
      <c r="B340" s="699"/>
      <c r="C340" s="533" t="s">
        <v>220</v>
      </c>
      <c r="D340" s="568"/>
      <c r="E340" s="535"/>
      <c r="F340" s="535"/>
      <c r="G340" s="535"/>
      <c r="H340" s="535"/>
      <c r="I340" s="513"/>
      <c r="J340" s="514"/>
      <c r="K340" s="514"/>
      <c r="L340" s="514"/>
      <c r="M340" s="514"/>
      <c r="N340" s="514"/>
      <c r="O340" s="514"/>
      <c r="P340" s="514"/>
      <c r="Q340" s="514"/>
      <c r="R340" s="515"/>
      <c r="S340" s="515"/>
      <c r="T340" s="515"/>
      <c r="U340" s="515"/>
      <c r="V340" s="515"/>
      <c r="W340" s="515"/>
      <c r="X340" s="515"/>
      <c r="Y340" s="515"/>
    </row>
    <row r="341" spans="1:25" ht="15.75" customHeight="1">
      <c r="A341" s="697" t="s">
        <v>221</v>
      </c>
      <c r="B341" s="700" t="s">
        <v>222</v>
      </c>
      <c r="C341" s="537" t="s">
        <v>1570</v>
      </c>
      <c r="D341" s="570"/>
      <c r="E341" s="539"/>
      <c r="F341" s="540">
        <v>1</v>
      </c>
      <c r="G341" s="539"/>
      <c r="H341" s="539"/>
      <c r="I341" s="513"/>
      <c r="J341" s="514"/>
      <c r="K341" s="514"/>
      <c r="L341" s="514"/>
      <c r="M341" s="514"/>
      <c r="N341" s="514"/>
      <c r="O341" s="514"/>
      <c r="P341" s="514"/>
      <c r="Q341" s="514"/>
      <c r="R341" s="515"/>
      <c r="S341" s="515"/>
      <c r="T341" s="515"/>
      <c r="U341" s="515"/>
      <c r="V341" s="515"/>
      <c r="W341" s="515"/>
      <c r="X341" s="515"/>
      <c r="Y341" s="515"/>
    </row>
    <row r="342" spans="1:25" ht="26.75" customHeight="1">
      <c r="A342" s="697"/>
      <c r="B342" s="698"/>
      <c r="C342" s="527" t="s">
        <v>219</v>
      </c>
      <c r="D342" s="564"/>
      <c r="E342" s="530"/>
      <c r="F342" s="530"/>
      <c r="G342" s="530"/>
      <c r="H342" s="530"/>
      <c r="I342" s="513"/>
      <c r="J342" s="514"/>
      <c r="K342" s="514"/>
      <c r="L342" s="514"/>
      <c r="M342" s="514"/>
      <c r="N342" s="514"/>
      <c r="O342" s="514"/>
      <c r="P342" s="514"/>
      <c r="Q342" s="514"/>
      <c r="R342" s="515"/>
      <c r="S342" s="515"/>
      <c r="T342" s="515"/>
      <c r="U342" s="515"/>
      <c r="V342" s="515"/>
      <c r="W342" s="515"/>
      <c r="X342" s="515"/>
      <c r="Y342" s="515"/>
    </row>
    <row r="343" spans="1:25" ht="15.75" customHeight="1">
      <c r="A343" s="697"/>
      <c r="B343" s="698"/>
      <c r="C343" s="553" t="s">
        <v>47</v>
      </c>
      <c r="D343" s="564"/>
      <c r="E343" s="530"/>
      <c r="F343" s="530"/>
      <c r="G343" s="530"/>
      <c r="H343" s="530"/>
      <c r="I343" s="513"/>
      <c r="J343" s="514"/>
      <c r="K343" s="514"/>
      <c r="L343" s="514"/>
      <c r="M343" s="514"/>
      <c r="N343" s="514"/>
      <c r="O343" s="514"/>
      <c r="P343" s="514"/>
      <c r="Q343" s="514"/>
      <c r="R343" s="515"/>
      <c r="S343" s="515"/>
      <c r="T343" s="515"/>
      <c r="U343" s="515"/>
      <c r="V343" s="515"/>
      <c r="W343" s="515"/>
      <c r="X343" s="515"/>
      <c r="Y343" s="515"/>
    </row>
    <row r="344" spans="1:25" ht="15.75" customHeight="1">
      <c r="A344" s="697"/>
      <c r="B344" s="698"/>
      <c r="C344" s="495" t="s">
        <v>73</v>
      </c>
      <c r="D344" s="564"/>
      <c r="E344" s="530"/>
      <c r="F344" s="530"/>
      <c r="G344" s="530"/>
      <c r="H344" s="530"/>
      <c r="I344" s="513"/>
      <c r="J344" s="514"/>
      <c r="K344" s="514"/>
      <c r="L344" s="514"/>
      <c r="M344" s="514"/>
      <c r="N344" s="514"/>
      <c r="O344" s="514"/>
      <c r="P344" s="514"/>
      <c r="Q344" s="514"/>
      <c r="R344" s="515"/>
      <c r="S344" s="515"/>
      <c r="T344" s="515"/>
      <c r="U344" s="515"/>
      <c r="V344" s="515"/>
      <c r="W344" s="515"/>
      <c r="X344" s="515"/>
      <c r="Y344" s="515"/>
    </row>
    <row r="345" spans="1:25" ht="15.75" customHeight="1">
      <c r="A345" s="697"/>
      <c r="B345" s="699"/>
      <c r="C345" s="533" t="s">
        <v>220</v>
      </c>
      <c r="D345" s="568"/>
      <c r="E345" s="535"/>
      <c r="F345" s="535"/>
      <c r="G345" s="535"/>
      <c r="H345" s="535"/>
      <c r="I345" s="513"/>
      <c r="J345" s="514"/>
      <c r="K345" s="514"/>
      <c r="L345" s="514"/>
      <c r="M345" s="514"/>
      <c r="N345" s="514"/>
      <c r="O345" s="514"/>
      <c r="P345" s="514"/>
      <c r="Q345" s="514"/>
      <c r="R345" s="515"/>
      <c r="S345" s="515"/>
      <c r="T345" s="515"/>
      <c r="U345" s="515"/>
      <c r="V345" s="515"/>
      <c r="W345" s="515"/>
      <c r="X345" s="515"/>
      <c r="Y345" s="515"/>
    </row>
    <row r="346" spans="1:25" ht="15.75" customHeight="1">
      <c r="A346" s="697"/>
      <c r="B346" s="700" t="s">
        <v>223</v>
      </c>
      <c r="C346" s="537" t="s">
        <v>1570</v>
      </c>
      <c r="D346" s="570"/>
      <c r="E346" s="539"/>
      <c r="F346" s="540">
        <v>1</v>
      </c>
      <c r="G346" s="539"/>
      <c r="H346" s="539"/>
      <c r="I346" s="513"/>
      <c r="J346" s="514"/>
      <c r="K346" s="514"/>
      <c r="L346" s="514"/>
      <c r="M346" s="514"/>
      <c r="N346" s="514"/>
      <c r="O346" s="514"/>
      <c r="P346" s="514"/>
      <c r="Q346" s="514"/>
      <c r="R346" s="515"/>
      <c r="S346" s="515"/>
      <c r="T346" s="515"/>
      <c r="U346" s="515"/>
      <c r="V346" s="515"/>
      <c r="W346" s="515"/>
      <c r="X346" s="515"/>
      <c r="Y346" s="515"/>
    </row>
    <row r="347" spans="1:25" ht="26.75" customHeight="1">
      <c r="A347" s="697"/>
      <c r="B347" s="698"/>
      <c r="C347" s="527" t="s">
        <v>219</v>
      </c>
      <c r="D347" s="564"/>
      <c r="E347" s="530"/>
      <c r="F347" s="530"/>
      <c r="G347" s="530"/>
      <c r="H347" s="530"/>
      <c r="I347" s="513"/>
      <c r="J347" s="514"/>
      <c r="K347" s="514"/>
      <c r="L347" s="514"/>
      <c r="M347" s="514"/>
      <c r="N347" s="514"/>
      <c r="O347" s="514"/>
      <c r="P347" s="514"/>
      <c r="Q347" s="514"/>
      <c r="R347" s="515"/>
      <c r="S347" s="515"/>
      <c r="T347" s="515"/>
      <c r="U347" s="515"/>
      <c r="V347" s="515"/>
      <c r="W347" s="515"/>
      <c r="X347" s="515"/>
      <c r="Y347" s="515"/>
    </row>
    <row r="348" spans="1:25" ht="15.75" customHeight="1">
      <c r="A348" s="697"/>
      <c r="B348" s="698"/>
      <c r="C348" s="553" t="s">
        <v>47</v>
      </c>
      <c r="D348" s="564"/>
      <c r="E348" s="530"/>
      <c r="F348" s="530"/>
      <c r="G348" s="530"/>
      <c r="H348" s="530"/>
      <c r="I348" s="513"/>
      <c r="J348" s="514"/>
      <c r="K348" s="514"/>
      <c r="L348" s="514"/>
      <c r="M348" s="514"/>
      <c r="N348" s="514"/>
      <c r="O348" s="514"/>
      <c r="P348" s="514"/>
      <c r="Q348" s="514"/>
      <c r="R348" s="515"/>
      <c r="S348" s="515"/>
      <c r="T348" s="515"/>
      <c r="U348" s="515"/>
      <c r="V348" s="515"/>
      <c r="W348" s="515"/>
      <c r="X348" s="515"/>
      <c r="Y348" s="515"/>
    </row>
    <row r="349" spans="1:25" ht="15.75" customHeight="1">
      <c r="A349" s="697"/>
      <c r="B349" s="698"/>
      <c r="C349" s="495" t="s">
        <v>73</v>
      </c>
      <c r="D349" s="564"/>
      <c r="E349" s="530"/>
      <c r="F349" s="530"/>
      <c r="G349" s="530"/>
      <c r="H349" s="530"/>
      <c r="I349" s="513"/>
      <c r="J349" s="514"/>
      <c r="K349" s="514"/>
      <c r="L349" s="514"/>
      <c r="M349" s="514"/>
      <c r="N349" s="514"/>
      <c r="O349" s="514"/>
      <c r="P349" s="514"/>
      <c r="Q349" s="514"/>
      <c r="R349" s="515"/>
      <c r="S349" s="515"/>
      <c r="T349" s="515"/>
      <c r="U349" s="515"/>
      <c r="V349" s="515"/>
      <c r="W349" s="515"/>
      <c r="X349" s="515"/>
      <c r="Y349" s="515"/>
    </row>
    <row r="350" spans="1:25" ht="15.75" customHeight="1">
      <c r="A350" s="697"/>
      <c r="B350" s="699"/>
      <c r="C350" s="533" t="s">
        <v>220</v>
      </c>
      <c r="D350" s="568"/>
      <c r="E350" s="535"/>
      <c r="F350" s="535"/>
      <c r="G350" s="535"/>
      <c r="H350" s="535"/>
      <c r="I350" s="513"/>
      <c r="J350" s="514"/>
      <c r="K350" s="514"/>
      <c r="L350" s="514"/>
      <c r="M350" s="514"/>
      <c r="N350" s="514"/>
      <c r="O350" s="514"/>
      <c r="P350" s="514"/>
      <c r="Q350" s="514"/>
      <c r="R350" s="515"/>
      <c r="S350" s="515"/>
      <c r="T350" s="515"/>
      <c r="U350" s="515"/>
      <c r="V350" s="515"/>
      <c r="W350" s="515"/>
      <c r="X350" s="515"/>
      <c r="Y350" s="515"/>
    </row>
    <row r="351" spans="1:25" ht="15.75" customHeight="1">
      <c r="A351" s="697"/>
      <c r="B351" s="698" t="s">
        <v>224</v>
      </c>
      <c r="C351" s="553" t="s">
        <v>47</v>
      </c>
      <c r="D351" s="564"/>
      <c r="E351" s="530"/>
      <c r="F351" s="530" t="s">
        <v>99</v>
      </c>
      <c r="G351" s="530"/>
      <c r="H351" s="530"/>
      <c r="I351" s="513"/>
      <c r="J351" s="514"/>
      <c r="K351" s="514"/>
      <c r="L351" s="514"/>
      <c r="M351" s="514"/>
      <c r="N351" s="514"/>
      <c r="O351" s="514"/>
      <c r="P351" s="514"/>
      <c r="Q351" s="514"/>
      <c r="R351" s="515"/>
      <c r="S351" s="515"/>
      <c r="T351" s="515"/>
      <c r="U351" s="515"/>
      <c r="V351" s="515"/>
      <c r="W351" s="515"/>
      <c r="X351" s="515"/>
      <c r="Y351" s="515"/>
    </row>
    <row r="352" spans="1:25" ht="15.75" customHeight="1">
      <c r="A352" s="526"/>
      <c r="B352" s="698"/>
      <c r="C352" s="492" t="s">
        <v>73</v>
      </c>
      <c r="D352" s="564"/>
      <c r="E352" s="530"/>
      <c r="F352" s="530"/>
      <c r="G352" s="530"/>
      <c r="H352" s="530"/>
      <c r="I352" s="513"/>
      <c r="J352" s="514"/>
      <c r="K352" s="514"/>
      <c r="L352" s="514"/>
      <c r="M352" s="514"/>
      <c r="N352" s="514"/>
      <c r="O352" s="514"/>
      <c r="P352" s="514"/>
      <c r="Q352" s="514"/>
      <c r="R352" s="515"/>
      <c r="S352" s="515"/>
      <c r="T352" s="515"/>
      <c r="U352" s="515"/>
      <c r="V352" s="515"/>
      <c r="W352" s="515"/>
      <c r="X352" s="515"/>
      <c r="Y352" s="515"/>
    </row>
    <row r="353" spans="1:25" ht="15.75" customHeight="1">
      <c r="A353" s="526"/>
      <c r="B353" s="698"/>
      <c r="C353" s="527" t="s">
        <v>220</v>
      </c>
      <c r="D353" s="564"/>
      <c r="E353" s="530"/>
      <c r="F353" s="530"/>
      <c r="G353" s="530"/>
      <c r="H353" s="530"/>
      <c r="I353" s="513"/>
      <c r="J353" s="514"/>
      <c r="K353" s="514"/>
      <c r="L353" s="514"/>
      <c r="M353" s="514"/>
      <c r="N353" s="514"/>
      <c r="O353" s="514"/>
      <c r="P353" s="514"/>
      <c r="Q353" s="514"/>
      <c r="R353" s="515"/>
      <c r="S353" s="515"/>
      <c r="T353" s="515"/>
      <c r="U353" s="515"/>
      <c r="V353" s="515"/>
      <c r="W353" s="515"/>
      <c r="X353" s="515"/>
      <c r="Y353" s="515"/>
    </row>
    <row r="354" spans="1:25" ht="15.75" customHeight="1">
      <c r="A354" s="717" t="s">
        <v>225</v>
      </c>
      <c r="B354" s="717"/>
      <c r="C354" s="717"/>
      <c r="D354" s="717"/>
      <c r="E354" s="719"/>
      <c r="F354" s="719"/>
      <c r="G354" s="719"/>
      <c r="H354" s="719"/>
      <c r="I354" s="513"/>
      <c r="J354" s="514"/>
      <c r="K354" s="514"/>
      <c r="L354" s="514"/>
      <c r="M354" s="514"/>
      <c r="N354" s="514"/>
      <c r="O354" s="514"/>
      <c r="P354" s="514"/>
      <c r="Q354" s="514"/>
      <c r="R354" s="515"/>
      <c r="S354" s="515"/>
      <c r="T354" s="515"/>
      <c r="U354" s="515"/>
      <c r="V354" s="515"/>
      <c r="W354" s="515"/>
      <c r="X354" s="515"/>
      <c r="Y354" s="515"/>
    </row>
    <row r="355" spans="1:25" ht="15.75" customHeight="1">
      <c r="A355" s="697" t="s">
        <v>155</v>
      </c>
      <c r="B355" s="698" t="s">
        <v>161</v>
      </c>
      <c r="C355" s="537" t="s">
        <v>1570</v>
      </c>
      <c r="D355" s="564"/>
      <c r="E355" s="530"/>
      <c r="F355" s="530"/>
      <c r="G355" s="530"/>
      <c r="H355" s="530"/>
      <c r="I355" s="513"/>
      <c r="J355" s="514"/>
      <c r="K355" s="514"/>
      <c r="L355" s="514"/>
      <c r="M355" s="514"/>
      <c r="N355" s="514"/>
      <c r="O355" s="514"/>
      <c r="P355" s="514"/>
      <c r="Q355" s="514"/>
      <c r="R355" s="515"/>
      <c r="S355" s="515"/>
      <c r="T355" s="515"/>
      <c r="U355" s="515"/>
      <c r="V355" s="515"/>
      <c r="W355" s="515"/>
      <c r="X355" s="515"/>
      <c r="Y355" s="515"/>
    </row>
    <row r="356" spans="1:25" ht="15.75" customHeight="1">
      <c r="A356" s="697"/>
      <c r="B356" s="698"/>
      <c r="C356" s="527" t="s">
        <v>226</v>
      </c>
      <c r="D356" s="564"/>
      <c r="E356" s="530"/>
      <c r="F356" s="530"/>
      <c r="G356" s="530"/>
      <c r="H356" s="530"/>
      <c r="I356" s="513"/>
      <c r="J356" s="514"/>
      <c r="K356" s="514"/>
      <c r="L356" s="514"/>
      <c r="M356" s="514"/>
      <c r="N356" s="514"/>
      <c r="O356" s="514"/>
      <c r="P356" s="514"/>
      <c r="Q356" s="514"/>
      <c r="R356" s="515"/>
      <c r="S356" s="515"/>
      <c r="T356" s="515"/>
      <c r="U356" s="515"/>
      <c r="V356" s="515"/>
      <c r="W356" s="515"/>
      <c r="X356" s="515"/>
      <c r="Y356" s="515"/>
    </row>
    <row r="357" spans="1:25" ht="15.75" customHeight="1">
      <c r="A357" s="697"/>
      <c r="B357" s="698"/>
      <c r="C357" s="537" t="s">
        <v>1573</v>
      </c>
      <c r="D357" s="564"/>
      <c r="E357" s="530"/>
      <c r="F357" s="530"/>
      <c r="G357" s="530"/>
      <c r="H357" s="530"/>
      <c r="I357" s="513"/>
      <c r="J357" s="514"/>
      <c r="K357" s="514"/>
      <c r="L357" s="514"/>
      <c r="M357" s="514"/>
      <c r="N357" s="514"/>
      <c r="O357" s="514"/>
      <c r="P357" s="514"/>
      <c r="Q357" s="514"/>
      <c r="R357" s="515"/>
      <c r="S357" s="515"/>
      <c r="T357" s="515"/>
      <c r="U357" s="515"/>
      <c r="V357" s="515"/>
      <c r="W357" s="515"/>
      <c r="X357" s="515"/>
      <c r="Y357" s="515"/>
    </row>
    <row r="358" spans="1:25" ht="26.75" customHeight="1">
      <c r="A358" s="718"/>
      <c r="B358" s="699"/>
      <c r="C358" s="533" t="s">
        <v>227</v>
      </c>
      <c r="D358" s="568"/>
      <c r="E358" s="535"/>
      <c r="F358" s="535"/>
      <c r="G358" s="535"/>
      <c r="H358" s="535"/>
      <c r="I358" s="513"/>
      <c r="J358" s="514"/>
      <c r="K358" s="514"/>
      <c r="L358" s="514"/>
      <c r="M358" s="514"/>
      <c r="N358" s="514"/>
      <c r="O358" s="514"/>
      <c r="P358" s="514"/>
      <c r="Q358" s="514"/>
      <c r="R358" s="515"/>
      <c r="S358" s="515"/>
      <c r="T358" s="515"/>
      <c r="U358" s="515"/>
      <c r="V358" s="515"/>
      <c r="W358" s="515"/>
      <c r="X358" s="515"/>
      <c r="Y358" s="515"/>
    </row>
    <row r="359" spans="1:25" ht="26.75" customHeight="1">
      <c r="A359" s="526" t="s">
        <v>228</v>
      </c>
      <c r="B359" s="527" t="s">
        <v>229</v>
      </c>
      <c r="C359" s="527" t="s">
        <v>230</v>
      </c>
      <c r="D359" s="564"/>
      <c r="E359" s="541">
        <v>10</v>
      </c>
      <c r="F359" s="530" t="s">
        <v>231</v>
      </c>
      <c r="G359" s="530"/>
      <c r="H359" s="530"/>
      <c r="I359" s="513"/>
      <c r="J359" s="514"/>
      <c r="K359" s="514"/>
      <c r="L359" s="514"/>
      <c r="M359" s="514"/>
      <c r="N359" s="514"/>
      <c r="O359" s="514"/>
      <c r="P359" s="514"/>
      <c r="Q359" s="514"/>
      <c r="R359" s="515"/>
      <c r="S359" s="515"/>
      <c r="T359" s="515"/>
      <c r="U359" s="515"/>
      <c r="V359" s="515"/>
      <c r="W359" s="515"/>
      <c r="X359" s="515"/>
      <c r="Y359" s="515"/>
    </row>
    <row r="360" spans="1:25" ht="15.75" customHeight="1">
      <c r="A360" s="717" t="s">
        <v>232</v>
      </c>
      <c r="B360" s="717"/>
      <c r="C360" s="717"/>
      <c r="D360" s="717"/>
      <c r="E360" s="719"/>
      <c r="F360" s="719"/>
      <c r="G360" s="719"/>
      <c r="H360" s="719"/>
      <c r="I360" s="513"/>
      <c r="J360" s="514"/>
      <c r="K360" s="514"/>
      <c r="L360" s="514"/>
      <c r="M360" s="514"/>
      <c r="N360" s="514"/>
      <c r="O360" s="514"/>
      <c r="P360" s="514"/>
      <c r="Q360" s="514"/>
      <c r="R360" s="515"/>
      <c r="S360" s="515"/>
      <c r="T360" s="515"/>
      <c r="U360" s="515"/>
      <c r="V360" s="515"/>
      <c r="W360" s="515"/>
      <c r="X360" s="515"/>
      <c r="Y360" s="515"/>
    </row>
    <row r="361" spans="1:25" ht="15.75" customHeight="1">
      <c r="A361" s="697" t="s">
        <v>155</v>
      </c>
      <c r="B361" s="694" t="s">
        <v>161</v>
      </c>
      <c r="C361" s="537" t="s">
        <v>26</v>
      </c>
      <c r="D361" s="564"/>
      <c r="E361" s="530"/>
      <c r="F361" s="530"/>
      <c r="G361" s="530"/>
      <c r="H361" s="530"/>
      <c r="I361" s="513"/>
      <c r="J361" s="514"/>
      <c r="K361" s="514"/>
      <c r="L361" s="514"/>
      <c r="M361" s="514"/>
      <c r="N361" s="514"/>
      <c r="O361" s="514"/>
      <c r="P361" s="514"/>
      <c r="Q361" s="514"/>
      <c r="R361" s="515"/>
      <c r="S361" s="515"/>
      <c r="T361" s="515"/>
      <c r="U361" s="515"/>
      <c r="V361" s="515"/>
      <c r="W361" s="515"/>
      <c r="X361" s="515"/>
      <c r="Y361" s="515"/>
    </row>
    <row r="362" spans="1:25" ht="15.75" customHeight="1">
      <c r="A362" s="697"/>
      <c r="B362" s="694"/>
      <c r="C362" s="527" t="s">
        <v>233</v>
      </c>
      <c r="D362" s="564"/>
      <c r="E362" s="530"/>
      <c r="F362" s="530"/>
      <c r="G362" s="530"/>
      <c r="H362" s="530"/>
      <c r="I362" s="513"/>
      <c r="J362" s="514"/>
      <c r="K362" s="514"/>
      <c r="L362" s="514"/>
      <c r="M362" s="514"/>
      <c r="N362" s="514"/>
      <c r="O362" s="514"/>
      <c r="P362" s="514"/>
      <c r="Q362" s="514"/>
      <c r="R362" s="515"/>
      <c r="S362" s="515"/>
      <c r="T362" s="515"/>
      <c r="U362" s="515"/>
      <c r="V362" s="515"/>
      <c r="W362" s="515"/>
      <c r="X362" s="515"/>
      <c r="Y362" s="515"/>
    </row>
    <row r="363" spans="1:25" ht="15.75" customHeight="1">
      <c r="A363" s="697"/>
      <c r="B363" s="694"/>
      <c r="C363" s="537" t="s">
        <v>57</v>
      </c>
      <c r="D363" s="564"/>
      <c r="E363" s="530"/>
      <c r="F363" s="530"/>
      <c r="G363" s="530"/>
      <c r="H363" s="530"/>
      <c r="I363" s="513"/>
      <c r="J363" s="514"/>
      <c r="K363" s="514"/>
      <c r="L363" s="514"/>
      <c r="M363" s="514"/>
      <c r="N363" s="514"/>
      <c r="O363" s="514"/>
      <c r="P363" s="514"/>
      <c r="Q363" s="514"/>
      <c r="R363" s="515"/>
      <c r="S363" s="515"/>
      <c r="T363" s="515"/>
      <c r="U363" s="515"/>
      <c r="V363" s="515"/>
      <c r="W363" s="515"/>
      <c r="X363" s="515"/>
      <c r="Y363" s="515"/>
    </row>
    <row r="364" spans="1:25" ht="15.75" customHeight="1">
      <c r="A364" s="697"/>
      <c r="B364" s="694"/>
      <c r="C364" s="527" t="s">
        <v>234</v>
      </c>
      <c r="D364" s="564"/>
      <c r="E364" s="530"/>
      <c r="F364" s="530"/>
      <c r="G364" s="530"/>
      <c r="H364" s="530"/>
      <c r="I364" s="513"/>
      <c r="J364" s="514"/>
      <c r="K364" s="514"/>
      <c r="L364" s="514"/>
      <c r="M364" s="514"/>
      <c r="N364" s="514"/>
      <c r="O364" s="514"/>
      <c r="P364" s="514"/>
      <c r="Q364" s="514"/>
      <c r="R364" s="515"/>
      <c r="S364" s="515"/>
      <c r="T364" s="515"/>
      <c r="U364" s="515"/>
      <c r="V364" s="515"/>
      <c r="W364" s="515"/>
      <c r="X364" s="515"/>
      <c r="Y364" s="515"/>
    </row>
    <row r="365" spans="1:25" ht="15.75" customHeight="1">
      <c r="A365" s="697"/>
      <c r="B365" s="694"/>
      <c r="C365" s="537" t="s">
        <v>36</v>
      </c>
      <c r="D365" s="564"/>
      <c r="E365" s="530"/>
      <c r="F365" s="530"/>
      <c r="G365" s="530"/>
      <c r="H365" s="530"/>
      <c r="I365" s="513"/>
      <c r="J365" s="514"/>
      <c r="K365" s="514"/>
      <c r="L365" s="514"/>
      <c r="M365" s="514"/>
      <c r="N365" s="514"/>
      <c r="O365" s="514"/>
      <c r="P365" s="514"/>
      <c r="Q365" s="514"/>
      <c r="R365" s="515"/>
      <c r="S365" s="515"/>
      <c r="T365" s="515"/>
      <c r="U365" s="515"/>
      <c r="V365" s="515"/>
      <c r="W365" s="515"/>
      <c r="X365" s="515"/>
      <c r="Y365" s="515"/>
    </row>
    <row r="366" spans="1:25" ht="15.75" customHeight="1">
      <c r="A366" s="697"/>
      <c r="B366" s="694"/>
      <c r="C366" s="527" t="s">
        <v>235</v>
      </c>
      <c r="D366" s="564"/>
      <c r="E366" s="530"/>
      <c r="F366" s="530"/>
      <c r="G366" s="530"/>
      <c r="H366" s="530"/>
      <c r="I366" s="513"/>
      <c r="J366" s="514"/>
      <c r="K366" s="514"/>
      <c r="L366" s="514"/>
      <c r="M366" s="514"/>
      <c r="N366" s="514"/>
      <c r="O366" s="514"/>
      <c r="P366" s="514"/>
      <c r="Q366" s="514"/>
      <c r="R366" s="515"/>
      <c r="S366" s="515"/>
      <c r="T366" s="515"/>
      <c r="U366" s="515"/>
      <c r="V366" s="515"/>
      <c r="W366" s="515"/>
      <c r="X366" s="515"/>
      <c r="Y366" s="515"/>
    </row>
    <row r="367" spans="1:25" ht="26.75" customHeight="1">
      <c r="A367" s="697"/>
      <c r="B367" s="694"/>
      <c r="C367" s="527" t="s">
        <v>1607</v>
      </c>
      <c r="D367" s="564"/>
      <c r="E367" s="530"/>
      <c r="F367" s="530"/>
      <c r="G367" s="530"/>
      <c r="H367" s="530"/>
      <c r="I367" s="513"/>
      <c r="J367" s="514"/>
      <c r="K367" s="514"/>
      <c r="L367" s="514"/>
      <c r="M367" s="514"/>
      <c r="N367" s="514"/>
      <c r="O367" s="514"/>
      <c r="P367" s="514"/>
      <c r="Q367" s="514"/>
      <c r="R367" s="515"/>
      <c r="S367" s="515"/>
      <c r="T367" s="515"/>
      <c r="U367" s="515"/>
      <c r="V367" s="515"/>
      <c r="W367" s="515"/>
      <c r="X367" s="515"/>
      <c r="Y367" s="515"/>
    </row>
    <row r="368" spans="1:25" ht="15.75" customHeight="1">
      <c r="A368" s="697"/>
      <c r="B368" s="694"/>
      <c r="C368" s="495" t="s">
        <v>236</v>
      </c>
      <c r="D368" s="564"/>
      <c r="E368" s="530"/>
      <c r="F368" s="530"/>
      <c r="G368" s="530"/>
      <c r="H368" s="530"/>
      <c r="I368" s="513"/>
      <c r="J368" s="514"/>
      <c r="K368" s="514"/>
      <c r="L368" s="514"/>
      <c r="M368" s="514"/>
      <c r="N368" s="514"/>
      <c r="O368" s="514"/>
      <c r="P368" s="514"/>
      <c r="Q368" s="514"/>
      <c r="R368" s="515"/>
      <c r="S368" s="515"/>
      <c r="T368" s="515"/>
      <c r="U368" s="515"/>
      <c r="V368" s="515"/>
      <c r="W368" s="515"/>
      <c r="X368" s="515"/>
      <c r="Y368" s="515"/>
    </row>
    <row r="369" spans="1:25">
      <c r="A369" s="718"/>
      <c r="B369" s="714"/>
      <c r="C369" s="494" t="s">
        <v>237</v>
      </c>
      <c r="D369" s="568"/>
      <c r="E369" s="535"/>
      <c r="F369" s="535"/>
      <c r="G369" s="535"/>
      <c r="H369" s="535"/>
      <c r="I369" s="513"/>
      <c r="J369" s="514"/>
      <c r="K369" s="514"/>
      <c r="L369" s="514"/>
      <c r="M369" s="514"/>
      <c r="N369" s="514"/>
      <c r="O369" s="514"/>
      <c r="P369" s="514"/>
      <c r="Q369" s="514"/>
      <c r="R369" s="515"/>
      <c r="S369" s="515"/>
      <c r="T369" s="515"/>
      <c r="U369" s="515"/>
      <c r="V369" s="515"/>
      <c r="W369" s="515"/>
      <c r="X369" s="515"/>
      <c r="Y369" s="515"/>
    </row>
    <row r="370" spans="1:25" ht="15.75" customHeight="1">
      <c r="A370" s="697" t="s">
        <v>238</v>
      </c>
      <c r="B370" s="713" t="s">
        <v>239</v>
      </c>
      <c r="C370" s="537" t="s">
        <v>26</v>
      </c>
      <c r="D370" s="570"/>
      <c r="E370" s="539"/>
      <c r="F370" s="539"/>
      <c r="G370" s="539"/>
      <c r="H370" s="539"/>
      <c r="I370" s="513"/>
      <c r="J370" s="514"/>
      <c r="K370" s="514"/>
      <c r="L370" s="514"/>
      <c r="M370" s="514"/>
      <c r="N370" s="514"/>
      <c r="O370" s="514"/>
      <c r="P370" s="514"/>
      <c r="Q370" s="514"/>
      <c r="R370" s="515"/>
      <c r="S370" s="515"/>
      <c r="T370" s="515"/>
      <c r="U370" s="515"/>
      <c r="V370" s="515"/>
      <c r="W370" s="515"/>
      <c r="X370" s="515"/>
      <c r="Y370" s="515"/>
    </row>
    <row r="371" spans="1:25" ht="15.75" customHeight="1">
      <c r="A371" s="697"/>
      <c r="B371" s="694"/>
      <c r="C371" s="527" t="s">
        <v>233</v>
      </c>
      <c r="D371" s="564"/>
      <c r="E371" s="530"/>
      <c r="F371" s="530"/>
      <c r="G371" s="530"/>
      <c r="H371" s="530"/>
      <c r="I371" s="513"/>
      <c r="J371" s="514"/>
      <c r="K371" s="514"/>
      <c r="L371" s="514"/>
      <c r="M371" s="514"/>
      <c r="N371" s="514"/>
      <c r="O371" s="514"/>
      <c r="P371" s="514"/>
      <c r="Q371" s="514"/>
      <c r="R371" s="515"/>
      <c r="S371" s="515"/>
      <c r="T371" s="515"/>
      <c r="U371" s="515"/>
      <c r="V371" s="515"/>
      <c r="W371" s="515"/>
      <c r="X371" s="515"/>
      <c r="Y371" s="515"/>
    </row>
    <row r="372" spans="1:25" ht="15.75" customHeight="1">
      <c r="A372" s="697"/>
      <c r="B372" s="694"/>
      <c r="C372" s="537" t="s">
        <v>57</v>
      </c>
      <c r="D372" s="564"/>
      <c r="E372" s="530"/>
      <c r="F372" s="530"/>
      <c r="G372" s="530"/>
      <c r="H372" s="530"/>
      <c r="I372" s="513"/>
      <c r="J372" s="514"/>
      <c r="K372" s="514"/>
      <c r="L372" s="514"/>
      <c r="M372" s="514"/>
      <c r="N372" s="514"/>
      <c r="O372" s="514"/>
      <c r="P372" s="514"/>
      <c r="Q372" s="514"/>
      <c r="R372" s="515"/>
      <c r="S372" s="515"/>
      <c r="T372" s="515"/>
      <c r="U372" s="515"/>
      <c r="V372" s="515"/>
      <c r="W372" s="515"/>
      <c r="X372" s="515"/>
      <c r="Y372" s="515"/>
    </row>
    <row r="373" spans="1:25" ht="15.75" customHeight="1">
      <c r="A373" s="697"/>
      <c r="B373" s="694"/>
      <c r="C373" s="527" t="s">
        <v>234</v>
      </c>
      <c r="D373" s="564"/>
      <c r="E373" s="530"/>
      <c r="F373" s="530"/>
      <c r="G373" s="530"/>
      <c r="H373" s="530"/>
      <c r="I373" s="513"/>
      <c r="J373" s="514"/>
      <c r="K373" s="514"/>
      <c r="L373" s="514"/>
      <c r="M373" s="514"/>
      <c r="N373" s="514"/>
      <c r="O373" s="514"/>
      <c r="P373" s="514"/>
      <c r="Q373" s="514"/>
      <c r="R373" s="515"/>
      <c r="S373" s="515"/>
      <c r="T373" s="515"/>
      <c r="U373" s="515"/>
      <c r="V373" s="515"/>
      <c r="W373" s="515"/>
      <c r="X373" s="515"/>
      <c r="Y373" s="515"/>
    </row>
    <row r="374" spans="1:25" ht="15.75" customHeight="1">
      <c r="A374" s="697"/>
      <c r="B374" s="694"/>
      <c r="C374" s="537" t="s">
        <v>36</v>
      </c>
      <c r="D374" s="564"/>
      <c r="E374" s="530"/>
      <c r="F374" s="530"/>
      <c r="G374" s="530"/>
      <c r="H374" s="530"/>
      <c r="I374" s="513"/>
      <c r="J374" s="514"/>
      <c r="K374" s="514"/>
      <c r="L374" s="514"/>
      <c r="M374" s="514"/>
      <c r="N374" s="514"/>
      <c r="O374" s="514"/>
      <c r="P374" s="514"/>
      <c r="Q374" s="514"/>
      <c r="R374" s="515"/>
      <c r="S374" s="515"/>
      <c r="T374" s="515"/>
      <c r="U374" s="515"/>
      <c r="V374" s="515"/>
      <c r="W374" s="515"/>
      <c r="X374" s="515"/>
      <c r="Y374" s="515"/>
    </row>
    <row r="375" spans="1:25" ht="15.75" customHeight="1">
      <c r="A375" s="697"/>
      <c r="B375" s="694"/>
      <c r="C375" s="527" t="s">
        <v>235</v>
      </c>
      <c r="D375" s="564"/>
      <c r="E375" s="530"/>
      <c r="F375" s="530"/>
      <c r="G375" s="530"/>
      <c r="H375" s="530"/>
      <c r="I375" s="513"/>
      <c r="J375" s="514"/>
      <c r="K375" s="514"/>
      <c r="L375" s="514"/>
      <c r="M375" s="514"/>
      <c r="N375" s="514"/>
      <c r="O375" s="514"/>
      <c r="P375" s="514"/>
      <c r="Q375" s="514"/>
      <c r="R375" s="515"/>
      <c r="S375" s="515"/>
      <c r="T375" s="515"/>
      <c r="U375" s="515"/>
      <c r="V375" s="515"/>
      <c r="W375" s="515"/>
      <c r="X375" s="515"/>
      <c r="Y375" s="515"/>
    </row>
    <row r="376" spans="1:25" ht="26.75" customHeight="1">
      <c r="A376" s="697"/>
      <c r="B376" s="694"/>
      <c r="C376" s="527" t="s">
        <v>1608</v>
      </c>
      <c r="D376" s="564"/>
      <c r="E376" s="530"/>
      <c r="F376" s="530"/>
      <c r="G376" s="530"/>
      <c r="H376" s="530"/>
      <c r="I376" s="513"/>
      <c r="J376" s="514"/>
      <c r="K376" s="514"/>
      <c r="L376" s="514"/>
      <c r="M376" s="514"/>
      <c r="N376" s="514"/>
      <c r="O376" s="514"/>
      <c r="P376" s="514"/>
      <c r="Q376" s="514"/>
      <c r="R376" s="515"/>
      <c r="S376" s="515"/>
      <c r="T376" s="515"/>
      <c r="U376" s="515"/>
      <c r="V376" s="515"/>
      <c r="W376" s="515"/>
      <c r="X376" s="515"/>
      <c r="Y376" s="515"/>
    </row>
    <row r="377" spans="1:25" ht="15.75" customHeight="1">
      <c r="A377" s="697"/>
      <c r="B377" s="694"/>
      <c r="C377" s="495" t="s">
        <v>236</v>
      </c>
      <c r="D377" s="564"/>
      <c r="E377" s="530"/>
      <c r="F377" s="530"/>
      <c r="G377" s="530"/>
      <c r="H377" s="530"/>
      <c r="I377" s="513"/>
      <c r="J377" s="514"/>
      <c r="K377" s="514"/>
      <c r="L377" s="514"/>
      <c r="M377" s="514"/>
      <c r="N377" s="514"/>
      <c r="O377" s="514"/>
      <c r="P377" s="514"/>
      <c r="Q377" s="514"/>
      <c r="R377" s="515"/>
      <c r="S377" s="515"/>
      <c r="T377" s="515"/>
      <c r="U377" s="515"/>
      <c r="V377" s="515"/>
      <c r="W377" s="515"/>
      <c r="X377" s="515"/>
      <c r="Y377" s="515"/>
    </row>
    <row r="378" spans="1:25">
      <c r="A378" s="697"/>
      <c r="B378" s="714"/>
      <c r="C378" s="494" t="s">
        <v>237</v>
      </c>
      <c r="D378" s="568"/>
      <c r="E378" s="535"/>
      <c r="F378" s="535"/>
      <c r="G378" s="535"/>
      <c r="H378" s="535"/>
      <c r="I378" s="513"/>
      <c r="J378" s="514"/>
      <c r="K378" s="514"/>
      <c r="L378" s="514"/>
      <c r="M378" s="514"/>
      <c r="N378" s="514"/>
      <c r="O378" s="514"/>
      <c r="P378" s="514"/>
      <c r="Q378" s="514"/>
      <c r="R378" s="515"/>
      <c r="S378" s="515"/>
      <c r="T378" s="515"/>
      <c r="U378" s="515"/>
      <c r="V378" s="515"/>
      <c r="W378" s="515"/>
      <c r="X378" s="515"/>
      <c r="Y378" s="515"/>
    </row>
    <row r="379" spans="1:25" ht="15.75" customHeight="1">
      <c r="A379" s="697"/>
      <c r="B379" s="713" t="s">
        <v>240</v>
      </c>
      <c r="C379" s="537" t="s">
        <v>26</v>
      </c>
      <c r="D379" s="570"/>
      <c r="E379" s="539"/>
      <c r="F379" s="539"/>
      <c r="G379" s="539"/>
      <c r="H379" s="539"/>
      <c r="I379" s="513"/>
      <c r="J379" s="514"/>
      <c r="K379" s="514"/>
      <c r="L379" s="514"/>
      <c r="M379" s="514"/>
      <c r="N379" s="514"/>
      <c r="O379" s="514"/>
      <c r="P379" s="514"/>
      <c r="Q379" s="514"/>
      <c r="R379" s="515"/>
      <c r="S379" s="515"/>
      <c r="T379" s="515"/>
      <c r="U379" s="515"/>
      <c r="V379" s="515"/>
      <c r="W379" s="515"/>
      <c r="X379" s="515"/>
      <c r="Y379" s="515"/>
    </row>
    <row r="380" spans="1:25" ht="15.75" customHeight="1">
      <c r="A380" s="697"/>
      <c r="B380" s="694"/>
      <c r="C380" s="527" t="s">
        <v>233</v>
      </c>
      <c r="D380" s="564"/>
      <c r="E380" s="530"/>
      <c r="F380" s="530"/>
      <c r="G380" s="530"/>
      <c r="H380" s="530"/>
      <c r="I380" s="513"/>
      <c r="J380" s="514"/>
      <c r="K380" s="514"/>
      <c r="L380" s="514"/>
      <c r="M380" s="514"/>
      <c r="N380" s="514"/>
      <c r="O380" s="514"/>
      <c r="P380" s="514"/>
      <c r="Q380" s="514"/>
      <c r="R380" s="515"/>
      <c r="S380" s="515"/>
      <c r="T380" s="515"/>
      <c r="U380" s="515"/>
      <c r="V380" s="515"/>
      <c r="W380" s="515"/>
      <c r="X380" s="515"/>
      <c r="Y380" s="515"/>
    </row>
    <row r="381" spans="1:25" ht="15.75" customHeight="1">
      <c r="A381" s="697"/>
      <c r="B381" s="694"/>
      <c r="C381" s="537" t="s">
        <v>57</v>
      </c>
      <c r="D381" s="564"/>
      <c r="E381" s="530"/>
      <c r="F381" s="530"/>
      <c r="G381" s="530"/>
      <c r="H381" s="530"/>
      <c r="I381" s="513"/>
      <c r="J381" s="514"/>
      <c r="K381" s="514"/>
      <c r="L381" s="514"/>
      <c r="M381" s="514"/>
      <c r="N381" s="514"/>
      <c r="O381" s="514"/>
      <c r="P381" s="514"/>
      <c r="Q381" s="514"/>
      <c r="R381" s="515"/>
      <c r="S381" s="515"/>
      <c r="T381" s="515"/>
      <c r="U381" s="515"/>
      <c r="V381" s="515"/>
      <c r="W381" s="515"/>
      <c r="X381" s="515"/>
      <c r="Y381" s="515"/>
    </row>
    <row r="382" spans="1:25" ht="15.75" customHeight="1">
      <c r="A382" s="697"/>
      <c r="B382" s="694"/>
      <c r="C382" s="527" t="s">
        <v>234</v>
      </c>
      <c r="D382" s="564"/>
      <c r="E382" s="530"/>
      <c r="F382" s="530"/>
      <c r="G382" s="530"/>
      <c r="H382" s="530"/>
      <c r="I382" s="513"/>
      <c r="J382" s="514"/>
      <c r="K382" s="514"/>
      <c r="L382" s="514"/>
      <c r="M382" s="514"/>
      <c r="N382" s="514"/>
      <c r="O382" s="514"/>
      <c r="P382" s="514"/>
      <c r="Q382" s="514"/>
      <c r="R382" s="515"/>
      <c r="S382" s="515"/>
      <c r="T382" s="515"/>
      <c r="U382" s="515"/>
      <c r="V382" s="515"/>
      <c r="W382" s="515"/>
      <c r="X382" s="515"/>
      <c r="Y382" s="515"/>
    </row>
    <row r="383" spans="1:25" ht="15.75" customHeight="1">
      <c r="A383" s="697"/>
      <c r="B383" s="694"/>
      <c r="C383" s="537" t="s">
        <v>36</v>
      </c>
      <c r="D383" s="564"/>
      <c r="E383" s="530"/>
      <c r="F383" s="530"/>
      <c r="G383" s="530"/>
      <c r="H383" s="530"/>
      <c r="I383" s="513"/>
      <c r="J383" s="514"/>
      <c r="K383" s="514"/>
      <c r="L383" s="514"/>
      <c r="M383" s="514"/>
      <c r="N383" s="514"/>
      <c r="O383" s="514"/>
      <c r="P383" s="514"/>
      <c r="Q383" s="514"/>
      <c r="R383" s="515"/>
      <c r="S383" s="515"/>
      <c r="T383" s="515"/>
      <c r="U383" s="515"/>
      <c r="V383" s="515"/>
      <c r="W383" s="515"/>
      <c r="X383" s="515"/>
      <c r="Y383" s="515"/>
    </row>
    <row r="384" spans="1:25" ht="15.75" customHeight="1">
      <c r="A384" s="697"/>
      <c r="B384" s="694"/>
      <c r="C384" s="527" t="s">
        <v>235</v>
      </c>
      <c r="D384" s="564"/>
      <c r="E384" s="530"/>
      <c r="F384" s="530"/>
      <c r="G384" s="530"/>
      <c r="H384" s="530"/>
      <c r="I384" s="513"/>
      <c r="J384" s="514"/>
      <c r="K384" s="514"/>
      <c r="L384" s="514"/>
      <c r="M384" s="514"/>
      <c r="N384" s="514"/>
      <c r="O384" s="514"/>
      <c r="P384" s="514"/>
      <c r="Q384" s="514"/>
      <c r="R384" s="515"/>
      <c r="S384" s="515"/>
      <c r="T384" s="515"/>
      <c r="U384" s="515"/>
      <c r="V384" s="515"/>
      <c r="W384" s="515"/>
      <c r="X384" s="515"/>
      <c r="Y384" s="515"/>
    </row>
    <row r="385" spans="1:25" ht="26.75" customHeight="1">
      <c r="A385" s="697"/>
      <c r="B385" s="694"/>
      <c r="C385" s="527" t="s">
        <v>1608</v>
      </c>
      <c r="D385" s="564"/>
      <c r="E385" s="530"/>
      <c r="F385" s="530"/>
      <c r="G385" s="530"/>
      <c r="H385" s="530"/>
      <c r="I385" s="513"/>
      <c r="J385" s="514"/>
      <c r="K385" s="514"/>
      <c r="L385" s="514"/>
      <c r="M385" s="514"/>
      <c r="N385" s="514"/>
      <c r="O385" s="514"/>
      <c r="P385" s="514"/>
      <c r="Q385" s="514"/>
      <c r="R385" s="515"/>
      <c r="S385" s="515"/>
      <c r="T385" s="515"/>
      <c r="U385" s="515"/>
      <c r="V385" s="515"/>
      <c r="W385" s="515"/>
      <c r="X385" s="515"/>
      <c r="Y385" s="515"/>
    </row>
    <row r="386" spans="1:25" ht="15.75" customHeight="1">
      <c r="A386" s="697"/>
      <c r="B386" s="694"/>
      <c r="C386" s="495" t="s">
        <v>236</v>
      </c>
      <c r="D386" s="564"/>
      <c r="E386" s="530"/>
      <c r="F386" s="530"/>
      <c r="G386" s="530"/>
      <c r="H386" s="530"/>
      <c r="I386" s="513"/>
      <c r="J386" s="514"/>
      <c r="K386" s="514"/>
      <c r="L386" s="514"/>
      <c r="M386" s="514"/>
      <c r="N386" s="514"/>
      <c r="O386" s="514"/>
      <c r="P386" s="514"/>
      <c r="Q386" s="514"/>
      <c r="R386" s="515"/>
      <c r="S386" s="515"/>
      <c r="T386" s="515"/>
      <c r="U386" s="515"/>
      <c r="V386" s="515"/>
      <c r="W386" s="515"/>
      <c r="X386" s="515"/>
      <c r="Y386" s="515"/>
    </row>
    <row r="387" spans="1:25">
      <c r="A387" s="697"/>
      <c r="B387" s="714"/>
      <c r="C387" s="494" t="s">
        <v>237</v>
      </c>
      <c r="D387" s="568"/>
      <c r="E387" s="535"/>
      <c r="F387" s="535"/>
      <c r="G387" s="535"/>
      <c r="H387" s="535"/>
      <c r="I387" s="513"/>
      <c r="J387" s="514"/>
      <c r="K387" s="514"/>
      <c r="L387" s="514"/>
      <c r="M387" s="514"/>
      <c r="N387" s="514"/>
      <c r="O387" s="514"/>
      <c r="P387" s="514"/>
      <c r="Q387" s="514"/>
      <c r="R387" s="515"/>
      <c r="S387" s="515"/>
      <c r="T387" s="515"/>
      <c r="U387" s="515"/>
      <c r="V387" s="515"/>
      <c r="W387" s="515"/>
      <c r="X387" s="515"/>
      <c r="Y387" s="515"/>
    </row>
    <row r="388" spans="1:25" ht="15.75" customHeight="1">
      <c r="A388" s="697"/>
      <c r="B388" s="713" t="s">
        <v>241</v>
      </c>
      <c r="C388" s="537" t="s">
        <v>57</v>
      </c>
      <c r="D388" s="570"/>
      <c r="E388" s="539"/>
      <c r="F388" s="539"/>
      <c r="G388" s="539"/>
      <c r="H388" s="539"/>
      <c r="I388" s="513"/>
      <c r="J388" s="514"/>
      <c r="K388" s="514"/>
      <c r="L388" s="514"/>
      <c r="M388" s="514"/>
      <c r="N388" s="514"/>
      <c r="O388" s="514"/>
      <c r="P388" s="514"/>
      <c r="Q388" s="514"/>
      <c r="R388" s="515"/>
      <c r="S388" s="515"/>
      <c r="T388" s="515"/>
      <c r="U388" s="515"/>
      <c r="V388" s="515"/>
      <c r="W388" s="515"/>
      <c r="X388" s="515"/>
      <c r="Y388" s="515"/>
    </row>
    <row r="389" spans="1:25" ht="15.75" customHeight="1">
      <c r="A389" s="697"/>
      <c r="B389" s="694"/>
      <c r="C389" s="527" t="s">
        <v>234</v>
      </c>
      <c r="D389" s="564"/>
      <c r="E389" s="530"/>
      <c r="F389" s="530"/>
      <c r="G389" s="530"/>
      <c r="H389" s="530"/>
      <c r="I389" s="513"/>
      <c r="J389" s="514"/>
      <c r="K389" s="514"/>
      <c r="L389" s="514"/>
      <c r="M389" s="514"/>
      <c r="N389" s="514"/>
      <c r="O389" s="514"/>
      <c r="P389" s="514"/>
      <c r="Q389" s="514"/>
      <c r="R389" s="515"/>
      <c r="S389" s="515"/>
      <c r="T389" s="515"/>
      <c r="U389" s="515"/>
      <c r="V389" s="515"/>
      <c r="W389" s="515"/>
      <c r="X389" s="515"/>
      <c r="Y389" s="515"/>
    </row>
    <row r="390" spans="1:25" ht="15.75" customHeight="1">
      <c r="A390" s="697"/>
      <c r="B390" s="694"/>
      <c r="C390" s="537" t="s">
        <v>36</v>
      </c>
      <c r="D390" s="564"/>
      <c r="E390" s="530"/>
      <c r="F390" s="530"/>
      <c r="G390" s="530"/>
      <c r="H390" s="530"/>
      <c r="I390" s="513"/>
      <c r="J390" s="514"/>
      <c r="K390" s="514"/>
      <c r="L390" s="514"/>
      <c r="M390" s="514"/>
      <c r="N390" s="514"/>
      <c r="O390" s="514"/>
      <c r="P390" s="514"/>
      <c r="Q390" s="514"/>
      <c r="R390" s="515"/>
      <c r="S390" s="515"/>
      <c r="T390" s="515"/>
      <c r="U390" s="515"/>
      <c r="V390" s="515"/>
      <c r="W390" s="515"/>
      <c r="X390" s="515"/>
      <c r="Y390" s="515"/>
    </row>
    <row r="391" spans="1:25" ht="15.75" customHeight="1">
      <c r="A391" s="697"/>
      <c r="B391" s="694"/>
      <c r="C391" s="527" t="s">
        <v>235</v>
      </c>
      <c r="D391" s="564"/>
      <c r="E391" s="530"/>
      <c r="F391" s="530"/>
      <c r="G391" s="530"/>
      <c r="H391" s="530"/>
      <c r="I391" s="513"/>
      <c r="J391" s="514"/>
      <c r="K391" s="514"/>
      <c r="L391" s="514"/>
      <c r="M391" s="514"/>
      <c r="N391" s="514"/>
      <c r="O391" s="514"/>
      <c r="P391" s="514"/>
      <c r="Q391" s="514"/>
      <c r="R391" s="515"/>
      <c r="S391" s="515"/>
      <c r="T391" s="515"/>
      <c r="U391" s="515"/>
      <c r="V391" s="515"/>
      <c r="W391" s="515"/>
      <c r="X391" s="515"/>
      <c r="Y391" s="515"/>
    </row>
    <row r="392" spans="1:25" ht="26.75" customHeight="1">
      <c r="A392" s="697"/>
      <c r="B392" s="694"/>
      <c r="C392" s="527" t="s">
        <v>1608</v>
      </c>
      <c r="D392" s="564"/>
      <c r="E392" s="530"/>
      <c r="F392" s="530"/>
      <c r="G392" s="530"/>
      <c r="H392" s="530"/>
      <c r="I392" s="513"/>
      <c r="J392" s="514"/>
      <c r="K392" s="514"/>
      <c r="L392" s="514"/>
      <c r="M392" s="514"/>
      <c r="N392" s="514"/>
      <c r="O392" s="514"/>
      <c r="P392" s="514"/>
      <c r="Q392" s="514"/>
      <c r="R392" s="515"/>
      <c r="S392" s="515"/>
      <c r="T392" s="515"/>
      <c r="U392" s="515"/>
      <c r="V392" s="515"/>
      <c r="W392" s="515"/>
      <c r="X392" s="515"/>
      <c r="Y392" s="515"/>
    </row>
    <row r="393" spans="1:25" ht="15.75" customHeight="1">
      <c r="A393" s="697"/>
      <c r="B393" s="694"/>
      <c r="C393" s="495" t="s">
        <v>236</v>
      </c>
      <c r="D393" s="564"/>
      <c r="E393" s="530"/>
      <c r="F393" s="530"/>
      <c r="G393" s="530"/>
      <c r="H393" s="530"/>
      <c r="I393" s="513"/>
      <c r="J393" s="514"/>
      <c r="K393" s="514"/>
      <c r="L393" s="514"/>
      <c r="M393" s="514"/>
      <c r="N393" s="514"/>
      <c r="O393" s="514"/>
      <c r="P393" s="514"/>
      <c r="Q393" s="514"/>
      <c r="R393" s="515"/>
      <c r="S393" s="515"/>
      <c r="T393" s="515"/>
      <c r="U393" s="515"/>
      <c r="V393" s="515"/>
      <c r="W393" s="515"/>
      <c r="X393" s="515"/>
      <c r="Y393" s="515"/>
    </row>
    <row r="394" spans="1:25">
      <c r="A394" s="697"/>
      <c r="B394" s="714"/>
      <c r="C394" s="494" t="s">
        <v>237</v>
      </c>
      <c r="D394" s="568"/>
      <c r="E394" s="535"/>
      <c r="F394" s="535"/>
      <c r="G394" s="535"/>
      <c r="H394" s="535"/>
      <c r="I394" s="513"/>
      <c r="J394" s="514"/>
      <c r="K394" s="514"/>
      <c r="L394" s="514"/>
      <c r="M394" s="514"/>
      <c r="N394" s="514"/>
      <c r="O394" s="514"/>
      <c r="P394" s="514"/>
      <c r="Q394" s="514"/>
      <c r="R394" s="515"/>
      <c r="S394" s="515"/>
      <c r="T394" s="515"/>
      <c r="U394" s="515"/>
      <c r="V394" s="515"/>
      <c r="W394" s="515"/>
      <c r="X394" s="515"/>
      <c r="Y394" s="515"/>
    </row>
    <row r="395" spans="1:25" ht="15.75" customHeight="1">
      <c r="A395" s="697"/>
      <c r="B395" s="694" t="s">
        <v>242</v>
      </c>
      <c r="C395" s="537" t="s">
        <v>26</v>
      </c>
      <c r="D395" s="564"/>
      <c r="E395" s="530"/>
      <c r="F395" s="530"/>
      <c r="G395" s="530"/>
      <c r="H395" s="530"/>
      <c r="I395" s="513"/>
      <c r="J395" s="514"/>
      <c r="K395" s="514"/>
      <c r="L395" s="514"/>
      <c r="M395" s="514"/>
      <c r="N395" s="514"/>
      <c r="O395" s="514"/>
      <c r="P395" s="514"/>
      <c r="Q395" s="514"/>
      <c r="R395" s="515"/>
      <c r="S395" s="515"/>
      <c r="T395" s="515"/>
      <c r="U395" s="515"/>
      <c r="V395" s="515"/>
      <c r="W395" s="515"/>
      <c r="X395" s="515"/>
      <c r="Y395" s="515"/>
    </row>
    <row r="396" spans="1:25" ht="15.75" customHeight="1">
      <c r="A396" s="526"/>
      <c r="B396" s="694"/>
      <c r="C396" s="527" t="s">
        <v>243</v>
      </c>
      <c r="D396" s="564"/>
      <c r="E396" s="530"/>
      <c r="F396" s="530"/>
      <c r="G396" s="530"/>
      <c r="H396" s="530"/>
      <c r="I396" s="513"/>
      <c r="J396" s="514"/>
      <c r="K396" s="514"/>
      <c r="L396" s="514"/>
      <c r="M396" s="514"/>
      <c r="N396" s="514"/>
      <c r="O396" s="514"/>
      <c r="P396" s="514"/>
      <c r="Q396" s="514"/>
      <c r="R396" s="515"/>
      <c r="S396" s="515"/>
      <c r="T396" s="515"/>
      <c r="U396" s="515"/>
      <c r="V396" s="515"/>
      <c r="W396" s="515"/>
      <c r="X396" s="515"/>
      <c r="Y396" s="515"/>
    </row>
    <row r="397" spans="1:25" ht="15.75" customHeight="1">
      <c r="A397" s="526"/>
      <c r="B397" s="694"/>
      <c r="C397" s="537" t="s">
        <v>57</v>
      </c>
      <c r="D397" s="564"/>
      <c r="E397" s="530"/>
      <c r="F397" s="530"/>
      <c r="G397" s="530"/>
      <c r="H397" s="530"/>
      <c r="I397" s="513"/>
      <c r="J397" s="514"/>
      <c r="K397" s="514"/>
      <c r="L397" s="514"/>
      <c r="M397" s="514"/>
      <c r="N397" s="514"/>
      <c r="O397" s="514"/>
      <c r="P397" s="514"/>
      <c r="Q397" s="514"/>
      <c r="R397" s="515"/>
      <c r="S397" s="515"/>
      <c r="T397" s="515"/>
      <c r="U397" s="515"/>
      <c r="V397" s="515"/>
      <c r="W397" s="515"/>
      <c r="X397" s="515"/>
      <c r="Y397" s="515"/>
    </row>
    <row r="398" spans="1:25" ht="15.75" customHeight="1">
      <c r="A398" s="526"/>
      <c r="B398" s="694"/>
      <c r="C398" s="527" t="s">
        <v>234</v>
      </c>
      <c r="D398" s="564"/>
      <c r="E398" s="530"/>
      <c r="F398" s="530"/>
      <c r="G398" s="530"/>
      <c r="H398" s="530"/>
      <c r="I398" s="513"/>
      <c r="J398" s="514"/>
      <c r="K398" s="514"/>
      <c r="L398" s="514"/>
      <c r="M398" s="514"/>
      <c r="N398" s="514"/>
      <c r="O398" s="514"/>
      <c r="P398" s="514"/>
      <c r="Q398" s="514"/>
      <c r="R398" s="515"/>
      <c r="S398" s="515"/>
      <c r="T398" s="515"/>
      <c r="U398" s="515"/>
      <c r="V398" s="515"/>
      <c r="W398" s="515"/>
      <c r="X398" s="515"/>
      <c r="Y398" s="515"/>
    </row>
    <row r="399" spans="1:25" ht="15.75" customHeight="1">
      <c r="A399" s="526"/>
      <c r="B399" s="694"/>
      <c r="C399" s="537" t="s">
        <v>36</v>
      </c>
      <c r="D399" s="564"/>
      <c r="E399" s="530"/>
      <c r="F399" s="530"/>
      <c r="G399" s="530"/>
      <c r="H399" s="530"/>
      <c r="I399" s="513"/>
      <c r="J399" s="514"/>
      <c r="K399" s="514"/>
      <c r="L399" s="514"/>
      <c r="M399" s="514"/>
      <c r="N399" s="514"/>
      <c r="O399" s="514"/>
      <c r="P399" s="514"/>
      <c r="Q399" s="514"/>
      <c r="R399" s="515"/>
      <c r="S399" s="515"/>
      <c r="T399" s="515"/>
      <c r="U399" s="515"/>
      <c r="V399" s="515"/>
      <c r="W399" s="515"/>
      <c r="X399" s="515"/>
      <c r="Y399" s="515"/>
    </row>
    <row r="400" spans="1:25" ht="15.75" customHeight="1">
      <c r="A400" s="526"/>
      <c r="B400" s="694"/>
      <c r="C400" s="527" t="s">
        <v>235</v>
      </c>
      <c r="D400" s="564"/>
      <c r="E400" s="530"/>
      <c r="F400" s="530"/>
      <c r="G400" s="530"/>
      <c r="H400" s="530"/>
      <c r="I400" s="513"/>
      <c r="J400" s="514"/>
      <c r="K400" s="514"/>
      <c r="L400" s="514"/>
      <c r="M400" s="514"/>
      <c r="N400" s="514"/>
      <c r="O400" s="514"/>
      <c r="P400" s="514"/>
      <c r="Q400" s="514"/>
      <c r="R400" s="515"/>
      <c r="S400" s="515"/>
      <c r="T400" s="515"/>
      <c r="U400" s="515"/>
      <c r="V400" s="515"/>
      <c r="W400" s="515"/>
      <c r="X400" s="515"/>
      <c r="Y400" s="515"/>
    </row>
    <row r="401" spans="1:25" ht="15.75" customHeight="1">
      <c r="A401" s="526"/>
      <c r="B401" s="694"/>
      <c r="C401" s="553" t="s">
        <v>47</v>
      </c>
      <c r="D401" s="564"/>
      <c r="E401" s="530"/>
      <c r="F401" s="530"/>
      <c r="G401" s="530"/>
      <c r="H401" s="530"/>
      <c r="I401" s="513"/>
      <c r="J401" s="514"/>
      <c r="K401" s="514"/>
      <c r="L401" s="514"/>
      <c r="M401" s="514"/>
      <c r="N401" s="514"/>
      <c r="O401" s="514"/>
      <c r="P401" s="514"/>
      <c r="Q401" s="514"/>
      <c r="R401" s="515"/>
      <c r="S401" s="515"/>
      <c r="T401" s="515"/>
      <c r="U401" s="515"/>
      <c r="V401" s="515"/>
      <c r="W401" s="515"/>
      <c r="X401" s="515"/>
      <c r="Y401" s="515"/>
    </row>
    <row r="402" spans="1:25" ht="15.75" customHeight="1">
      <c r="A402" s="526"/>
      <c r="B402" s="694"/>
      <c r="C402" s="527" t="s">
        <v>244</v>
      </c>
      <c r="D402" s="564"/>
      <c r="E402" s="530"/>
      <c r="F402" s="530"/>
      <c r="G402" s="530"/>
      <c r="H402" s="530"/>
      <c r="I402" s="513"/>
      <c r="J402" s="514"/>
      <c r="K402" s="514"/>
      <c r="L402" s="514"/>
      <c r="M402" s="514"/>
      <c r="N402" s="514"/>
      <c r="O402" s="514"/>
      <c r="P402" s="514"/>
      <c r="Q402" s="514"/>
      <c r="R402" s="515"/>
      <c r="S402" s="515"/>
      <c r="T402" s="515"/>
      <c r="U402" s="515"/>
      <c r="V402" s="515"/>
      <c r="W402" s="515"/>
      <c r="X402" s="515"/>
      <c r="Y402" s="515"/>
    </row>
    <row r="403" spans="1:25" ht="15.75" customHeight="1">
      <c r="A403" s="526"/>
      <c r="B403" s="694"/>
      <c r="C403" s="492" t="s">
        <v>236</v>
      </c>
      <c r="D403" s="564"/>
      <c r="E403" s="530"/>
      <c r="F403" s="530"/>
      <c r="G403" s="530"/>
      <c r="H403" s="530"/>
      <c r="I403" s="513"/>
      <c r="J403" s="514"/>
      <c r="K403" s="514"/>
      <c r="L403" s="514"/>
      <c r="M403" s="514"/>
      <c r="N403" s="514"/>
      <c r="O403" s="514"/>
      <c r="P403" s="514"/>
      <c r="Q403" s="514"/>
      <c r="R403" s="515"/>
      <c r="S403" s="515"/>
      <c r="T403" s="515"/>
      <c r="U403" s="515"/>
      <c r="V403" s="515"/>
      <c r="W403" s="515"/>
      <c r="X403" s="515"/>
      <c r="Y403" s="515"/>
    </row>
    <row r="404" spans="1:25">
      <c r="A404" s="526"/>
      <c r="B404" s="694"/>
      <c r="C404" s="492" t="s">
        <v>237</v>
      </c>
      <c r="D404" s="564"/>
      <c r="E404" s="530"/>
      <c r="F404" s="530"/>
      <c r="G404" s="530"/>
      <c r="H404" s="530"/>
      <c r="I404" s="513"/>
      <c r="J404" s="514"/>
      <c r="K404" s="514"/>
      <c r="L404" s="514"/>
      <c r="M404" s="514"/>
      <c r="N404" s="514"/>
      <c r="O404" s="514"/>
      <c r="P404" s="514"/>
      <c r="Q404" s="514"/>
      <c r="R404" s="515"/>
      <c r="S404" s="515"/>
      <c r="T404" s="515"/>
      <c r="U404" s="515"/>
      <c r="V404" s="515"/>
      <c r="W404" s="515"/>
      <c r="X404" s="515"/>
      <c r="Y404" s="515"/>
    </row>
    <row r="405" spans="1:25" ht="15.75" customHeight="1">
      <c r="A405" s="526"/>
      <c r="B405" s="694"/>
      <c r="C405" s="528" t="s">
        <v>245</v>
      </c>
      <c r="D405" s="564"/>
      <c r="E405" s="530"/>
      <c r="F405" s="530"/>
      <c r="G405" s="530"/>
      <c r="H405" s="530"/>
      <c r="I405" s="513"/>
      <c r="J405" s="514"/>
      <c r="K405" s="514"/>
      <c r="L405" s="514"/>
      <c r="M405" s="514"/>
      <c r="N405" s="514"/>
      <c r="O405" s="514"/>
      <c r="P405" s="514"/>
      <c r="Q405" s="514"/>
      <c r="R405" s="515"/>
      <c r="S405" s="515"/>
      <c r="T405" s="515"/>
      <c r="U405" s="515"/>
      <c r="V405" s="515"/>
      <c r="W405" s="515"/>
      <c r="X405" s="515"/>
      <c r="Y405" s="515"/>
    </row>
    <row r="406" spans="1:25" ht="15.75" customHeight="1">
      <c r="A406" s="717" t="s">
        <v>246</v>
      </c>
      <c r="B406" s="717"/>
      <c r="C406" s="717"/>
      <c r="D406" s="717"/>
      <c r="E406" s="566"/>
      <c r="F406" s="566"/>
      <c r="G406" s="566"/>
      <c r="H406" s="566"/>
      <c r="I406" s="513"/>
      <c r="J406" s="514"/>
      <c r="K406" s="514"/>
      <c r="L406" s="514"/>
      <c r="M406" s="514"/>
      <c r="N406" s="514"/>
      <c r="O406" s="514"/>
      <c r="P406" s="514"/>
      <c r="Q406" s="514"/>
      <c r="R406" s="515"/>
      <c r="S406" s="515"/>
      <c r="T406" s="515"/>
      <c r="U406" s="515"/>
      <c r="V406" s="515"/>
      <c r="W406" s="515"/>
      <c r="X406" s="515"/>
      <c r="Y406" s="515"/>
    </row>
    <row r="407" spans="1:25" ht="15.75" customHeight="1">
      <c r="A407" s="697" t="s">
        <v>155</v>
      </c>
      <c r="B407" s="698" t="s">
        <v>161</v>
      </c>
      <c r="C407" s="553" t="s">
        <v>47</v>
      </c>
      <c r="D407" s="573"/>
      <c r="E407" s="530"/>
      <c r="F407" s="530" t="s">
        <v>55</v>
      </c>
      <c r="G407" s="530"/>
      <c r="H407" s="530"/>
      <c r="I407" s="513"/>
      <c r="J407" s="514"/>
      <c r="K407" s="514"/>
      <c r="L407" s="514"/>
      <c r="M407" s="514"/>
      <c r="N407" s="514"/>
      <c r="O407" s="514"/>
      <c r="P407" s="514"/>
      <c r="Q407" s="514"/>
      <c r="R407" s="515"/>
      <c r="S407" s="515"/>
      <c r="T407" s="515"/>
      <c r="U407" s="515"/>
      <c r="V407" s="515"/>
      <c r="W407" s="515"/>
      <c r="X407" s="515"/>
      <c r="Y407" s="515"/>
    </row>
    <row r="408" spans="1:25" ht="15.75" customHeight="1">
      <c r="A408" s="697"/>
      <c r="B408" s="698"/>
      <c r="C408" s="495" t="s">
        <v>247</v>
      </c>
      <c r="D408" s="573"/>
      <c r="E408" s="530"/>
      <c r="F408" s="530"/>
      <c r="G408" s="530"/>
      <c r="H408" s="530"/>
      <c r="I408" s="513"/>
      <c r="J408" s="514"/>
      <c r="K408" s="514"/>
      <c r="L408" s="514"/>
      <c r="M408" s="514"/>
      <c r="N408" s="514"/>
      <c r="O408" s="514"/>
      <c r="P408" s="514"/>
      <c r="Q408" s="514"/>
      <c r="R408" s="515"/>
      <c r="S408" s="515"/>
      <c r="T408" s="515"/>
      <c r="U408" s="515"/>
      <c r="V408" s="515"/>
      <c r="W408" s="515"/>
      <c r="X408" s="515"/>
      <c r="Y408" s="515"/>
    </row>
    <row r="409" spans="1:25" ht="26.75" customHeight="1">
      <c r="A409" s="697"/>
      <c r="B409" s="698"/>
      <c r="C409" s="495" t="s">
        <v>248</v>
      </c>
      <c r="D409" s="573"/>
      <c r="E409" s="530"/>
      <c r="F409" s="530"/>
      <c r="G409" s="530"/>
      <c r="H409" s="530"/>
      <c r="I409" s="513"/>
      <c r="J409" s="514"/>
      <c r="K409" s="514"/>
      <c r="L409" s="514"/>
      <c r="M409" s="514"/>
      <c r="N409" s="514"/>
      <c r="O409" s="514"/>
      <c r="P409" s="514"/>
      <c r="Q409" s="514"/>
      <c r="R409" s="515"/>
      <c r="S409" s="515"/>
      <c r="T409" s="515"/>
      <c r="U409" s="515"/>
      <c r="V409" s="515"/>
      <c r="W409" s="515"/>
      <c r="X409" s="515"/>
      <c r="Y409" s="515"/>
    </row>
    <row r="410" spans="1:25" ht="15.75" customHeight="1">
      <c r="A410" s="697"/>
      <c r="B410" s="698"/>
      <c r="C410" s="527" t="s">
        <v>249</v>
      </c>
      <c r="D410" s="573"/>
      <c r="E410" s="530"/>
      <c r="F410" s="530"/>
      <c r="G410" s="530"/>
      <c r="H410" s="530"/>
      <c r="I410" s="513"/>
      <c r="J410" s="514"/>
      <c r="K410" s="514"/>
      <c r="L410" s="514"/>
      <c r="M410" s="514"/>
      <c r="N410" s="514"/>
      <c r="O410" s="514"/>
      <c r="P410" s="514"/>
      <c r="Q410" s="514"/>
      <c r="R410" s="515"/>
      <c r="S410" s="515"/>
      <c r="T410" s="515"/>
      <c r="U410" s="515"/>
      <c r="V410" s="515"/>
      <c r="W410" s="515"/>
      <c r="X410" s="515"/>
      <c r="Y410" s="515"/>
    </row>
    <row r="411" spans="1:25" ht="15.75" customHeight="1">
      <c r="A411" s="718"/>
      <c r="B411" s="699"/>
      <c r="C411" s="574" t="s">
        <v>139</v>
      </c>
      <c r="D411" s="575"/>
      <c r="E411" s="535"/>
      <c r="F411" s="535"/>
      <c r="G411" s="535"/>
      <c r="H411" s="535"/>
      <c r="I411" s="513"/>
      <c r="J411" s="514"/>
      <c r="K411" s="514"/>
      <c r="L411" s="514"/>
      <c r="M411" s="514"/>
      <c r="N411" s="514"/>
      <c r="O411" s="514"/>
      <c r="P411" s="514"/>
      <c r="Q411" s="514"/>
      <c r="R411" s="515"/>
      <c r="S411" s="515"/>
      <c r="T411" s="515"/>
      <c r="U411" s="515"/>
      <c r="V411" s="515"/>
      <c r="W411" s="515"/>
      <c r="X411" s="515"/>
      <c r="Y411" s="515"/>
    </row>
    <row r="412" spans="1:25" ht="15.75" customHeight="1">
      <c r="A412" s="697" t="s">
        <v>250</v>
      </c>
      <c r="B412" s="700" t="s">
        <v>251</v>
      </c>
      <c r="C412" s="537" t="s">
        <v>1570</v>
      </c>
      <c r="D412" s="576"/>
      <c r="E412" s="539" t="s">
        <v>252</v>
      </c>
      <c r="F412" s="540">
        <v>1</v>
      </c>
      <c r="G412" s="539"/>
      <c r="H412" s="539"/>
      <c r="I412" s="513"/>
      <c r="J412" s="514"/>
      <c r="K412" s="514"/>
      <c r="L412" s="514"/>
      <c r="M412" s="514"/>
      <c r="N412" s="514"/>
      <c r="O412" s="514"/>
      <c r="P412" s="514"/>
      <c r="Q412" s="514"/>
      <c r="R412" s="515"/>
      <c r="S412" s="515"/>
      <c r="T412" s="515"/>
      <c r="U412" s="515"/>
      <c r="V412" s="515"/>
      <c r="W412" s="515"/>
      <c r="X412" s="515"/>
      <c r="Y412" s="515"/>
    </row>
    <row r="413" spans="1:25" ht="26.75" customHeight="1">
      <c r="A413" s="697"/>
      <c r="B413" s="698"/>
      <c r="C413" s="527" t="s">
        <v>253</v>
      </c>
      <c r="D413" s="573"/>
      <c r="E413" s="530"/>
      <c r="F413" s="530"/>
      <c r="G413" s="530"/>
      <c r="H413" s="530"/>
      <c r="I413" s="513"/>
      <c r="J413" s="514"/>
      <c r="K413" s="514"/>
      <c r="L413" s="514"/>
      <c r="M413" s="514"/>
      <c r="N413" s="514"/>
      <c r="O413" s="514"/>
      <c r="P413" s="514"/>
      <c r="Q413" s="514"/>
      <c r="R413" s="515"/>
      <c r="S413" s="515"/>
      <c r="T413" s="515"/>
      <c r="U413" s="515"/>
      <c r="V413" s="515"/>
      <c r="W413" s="515"/>
      <c r="X413" s="515"/>
      <c r="Y413" s="515"/>
    </row>
    <row r="414" spans="1:25" ht="15.75" customHeight="1">
      <c r="A414" s="697"/>
      <c r="B414" s="698"/>
      <c r="C414" s="528" t="s">
        <v>139</v>
      </c>
      <c r="D414" s="573"/>
      <c r="E414" s="530"/>
      <c r="F414" s="530"/>
      <c r="G414" s="530"/>
      <c r="H414" s="530"/>
      <c r="I414" s="513"/>
      <c r="J414" s="514"/>
      <c r="K414" s="514"/>
      <c r="L414" s="514"/>
      <c r="M414" s="514"/>
      <c r="N414" s="514"/>
      <c r="O414" s="514"/>
      <c r="P414" s="514"/>
      <c r="Q414" s="514"/>
      <c r="R414" s="515"/>
      <c r="S414" s="515"/>
      <c r="T414" s="515"/>
      <c r="U414" s="515"/>
      <c r="V414" s="515"/>
      <c r="W414" s="515"/>
      <c r="X414" s="515"/>
      <c r="Y414" s="515"/>
    </row>
    <row r="415" spans="1:25" ht="15.75" customHeight="1">
      <c r="A415" s="697"/>
      <c r="B415" s="698"/>
      <c r="C415" s="537" t="s">
        <v>40</v>
      </c>
      <c r="D415" s="573"/>
      <c r="E415" s="530"/>
      <c r="F415" s="530"/>
      <c r="G415" s="530"/>
      <c r="H415" s="530"/>
      <c r="I415" s="513"/>
      <c r="J415" s="514"/>
      <c r="K415" s="514"/>
      <c r="L415" s="514"/>
      <c r="M415" s="514"/>
      <c r="N415" s="514"/>
      <c r="O415" s="514"/>
      <c r="P415" s="514"/>
      <c r="Q415" s="514"/>
      <c r="R415" s="515"/>
      <c r="S415" s="515"/>
      <c r="T415" s="515"/>
      <c r="U415" s="515"/>
      <c r="V415" s="515"/>
      <c r="W415" s="515"/>
      <c r="X415" s="515"/>
      <c r="Y415" s="515"/>
    </row>
    <row r="416" spans="1:25" ht="15.75" customHeight="1">
      <c r="A416" s="697"/>
      <c r="B416" s="698"/>
      <c r="C416" s="527" t="s">
        <v>254</v>
      </c>
      <c r="D416" s="573"/>
      <c r="E416" s="530"/>
      <c r="F416" s="530"/>
      <c r="G416" s="530"/>
      <c r="H416" s="530"/>
      <c r="I416" s="513"/>
      <c r="J416" s="514"/>
      <c r="K416" s="514"/>
      <c r="L416" s="514"/>
      <c r="M416" s="514"/>
      <c r="N416" s="514"/>
      <c r="O416" s="514"/>
      <c r="P416" s="514"/>
      <c r="Q416" s="514"/>
      <c r="R416" s="515"/>
      <c r="S416" s="515"/>
      <c r="T416" s="515"/>
      <c r="U416" s="515"/>
      <c r="V416" s="515"/>
      <c r="W416" s="515"/>
      <c r="X416" s="515"/>
      <c r="Y416" s="515"/>
    </row>
    <row r="417" spans="1:25" ht="15.75" customHeight="1">
      <c r="A417" s="697"/>
      <c r="B417" s="698"/>
      <c r="C417" s="553" t="s">
        <v>47</v>
      </c>
      <c r="D417" s="573"/>
      <c r="E417" s="530"/>
      <c r="F417" s="530"/>
      <c r="G417" s="530"/>
      <c r="H417" s="530"/>
      <c r="I417" s="513"/>
      <c r="J417" s="514"/>
      <c r="K417" s="514"/>
      <c r="L417" s="514"/>
      <c r="M417" s="514"/>
      <c r="N417" s="514"/>
      <c r="O417" s="514"/>
      <c r="P417" s="514"/>
      <c r="Q417" s="514"/>
      <c r="R417" s="515"/>
      <c r="S417" s="515"/>
      <c r="T417" s="515"/>
      <c r="U417" s="515"/>
      <c r="V417" s="515"/>
      <c r="W417" s="515"/>
      <c r="X417" s="515"/>
      <c r="Y417" s="515"/>
    </row>
    <row r="418" spans="1:25" ht="15.75" customHeight="1">
      <c r="A418" s="697"/>
      <c r="B418" s="699"/>
      <c r="C418" s="494" t="s">
        <v>73</v>
      </c>
      <c r="D418" s="575"/>
      <c r="E418" s="535"/>
      <c r="F418" s="535"/>
      <c r="G418" s="535"/>
      <c r="H418" s="535"/>
      <c r="I418" s="513"/>
      <c r="J418" s="514"/>
      <c r="K418" s="514"/>
      <c r="L418" s="514"/>
      <c r="M418" s="514"/>
      <c r="N418" s="514"/>
      <c r="O418" s="514"/>
      <c r="P418" s="514"/>
      <c r="Q418" s="514"/>
      <c r="R418" s="515"/>
      <c r="S418" s="515"/>
      <c r="T418" s="515"/>
      <c r="U418" s="515"/>
      <c r="V418" s="515"/>
      <c r="W418" s="515"/>
      <c r="X418" s="515"/>
      <c r="Y418" s="515"/>
    </row>
    <row r="419" spans="1:25" ht="15.75" customHeight="1">
      <c r="A419" s="697"/>
      <c r="B419" s="527" t="s">
        <v>255</v>
      </c>
      <c r="C419" s="553" t="s">
        <v>47</v>
      </c>
      <c r="D419" s="573"/>
      <c r="E419" s="530"/>
      <c r="F419" s="530"/>
      <c r="G419" s="530"/>
      <c r="H419" s="530"/>
      <c r="I419" s="513"/>
      <c r="J419" s="514"/>
      <c r="K419" s="514"/>
      <c r="L419" s="514"/>
      <c r="M419" s="514"/>
      <c r="N419" s="514"/>
      <c r="O419" s="514"/>
      <c r="P419" s="514"/>
      <c r="Q419" s="514"/>
      <c r="R419" s="515"/>
      <c r="S419" s="515"/>
      <c r="T419" s="515"/>
      <c r="U419" s="515"/>
      <c r="V419" s="515"/>
      <c r="W419" s="515"/>
      <c r="X419" s="515"/>
      <c r="Y419" s="515"/>
    </row>
    <row r="420" spans="1:25" ht="15.75" customHeight="1">
      <c r="A420" s="697"/>
      <c r="B420" s="527"/>
      <c r="C420" s="492" t="s">
        <v>73</v>
      </c>
      <c r="D420" s="573"/>
      <c r="E420" s="530"/>
      <c r="F420" s="530"/>
      <c r="G420" s="530"/>
      <c r="H420" s="530"/>
      <c r="I420" s="513"/>
      <c r="J420" s="514"/>
      <c r="K420" s="514"/>
      <c r="L420" s="514"/>
      <c r="M420" s="514"/>
      <c r="N420" s="514"/>
      <c r="O420" s="514"/>
      <c r="P420" s="514"/>
      <c r="Q420" s="514"/>
      <c r="R420" s="515"/>
      <c r="S420" s="515"/>
      <c r="T420" s="515"/>
      <c r="U420" s="515"/>
      <c r="V420" s="515"/>
      <c r="W420" s="515"/>
      <c r="X420" s="515"/>
      <c r="Y420" s="515"/>
    </row>
    <row r="421" spans="1:25" ht="15.75" customHeight="1">
      <c r="A421" s="697"/>
      <c r="B421" s="527"/>
      <c r="C421" s="528" t="s">
        <v>256</v>
      </c>
      <c r="D421" s="573"/>
      <c r="E421" s="530"/>
      <c r="F421" s="530"/>
      <c r="G421" s="530"/>
      <c r="H421" s="530"/>
      <c r="I421" s="513"/>
      <c r="J421" s="514"/>
      <c r="K421" s="514"/>
      <c r="L421" s="514"/>
      <c r="M421" s="514"/>
      <c r="N421" s="514"/>
      <c r="O421" s="514"/>
      <c r="P421" s="514"/>
      <c r="Q421" s="514"/>
      <c r="R421" s="515"/>
      <c r="S421" s="515"/>
      <c r="T421" s="515"/>
      <c r="U421" s="515"/>
      <c r="V421" s="515"/>
      <c r="W421" s="515"/>
      <c r="X421" s="515"/>
      <c r="Y421" s="515"/>
    </row>
    <row r="422" spans="1:25" ht="15.75" customHeight="1">
      <c r="A422" s="697"/>
      <c r="B422" s="533"/>
      <c r="C422" s="494" t="s">
        <v>257</v>
      </c>
      <c r="D422" s="575"/>
      <c r="E422" s="535"/>
      <c r="F422" s="535"/>
      <c r="G422" s="535"/>
      <c r="H422" s="535"/>
      <c r="I422" s="513"/>
      <c r="J422" s="514"/>
      <c r="K422" s="514"/>
      <c r="L422" s="514"/>
      <c r="M422" s="514"/>
      <c r="N422" s="514"/>
      <c r="O422" s="514"/>
      <c r="P422" s="514"/>
      <c r="Q422" s="514"/>
      <c r="R422" s="515"/>
      <c r="S422" s="515"/>
      <c r="T422" s="515"/>
      <c r="U422" s="515"/>
      <c r="V422" s="515"/>
      <c r="W422" s="515"/>
      <c r="X422" s="515"/>
      <c r="Y422" s="515"/>
    </row>
    <row r="423" spans="1:25">
      <c r="A423" s="697"/>
      <c r="B423" s="527" t="s">
        <v>258</v>
      </c>
      <c r="C423" s="495" t="s">
        <v>257</v>
      </c>
      <c r="D423" s="573"/>
      <c r="E423" s="530"/>
      <c r="F423" s="530"/>
      <c r="G423" s="530"/>
      <c r="H423" s="530"/>
      <c r="I423" s="513"/>
      <c r="J423" s="514"/>
      <c r="K423" s="514"/>
      <c r="L423" s="514"/>
      <c r="M423" s="514"/>
      <c r="N423" s="514"/>
      <c r="O423" s="514"/>
      <c r="P423" s="514"/>
      <c r="Q423" s="514"/>
      <c r="R423" s="515"/>
      <c r="S423" s="515"/>
      <c r="T423" s="515"/>
      <c r="U423" s="515"/>
      <c r="V423" s="515"/>
      <c r="W423" s="515"/>
      <c r="X423" s="515"/>
      <c r="Y423" s="515"/>
    </row>
    <row r="424" spans="1:25" ht="15.75" customHeight="1">
      <c r="A424" s="569"/>
      <c r="B424" s="533"/>
      <c r="C424" s="494" t="s">
        <v>259</v>
      </c>
      <c r="D424" s="568"/>
      <c r="E424" s="535"/>
      <c r="F424" s="535"/>
      <c r="G424" s="535"/>
      <c r="H424" s="535"/>
      <c r="I424" s="513"/>
      <c r="J424" s="514"/>
      <c r="K424" s="514"/>
      <c r="L424" s="514"/>
      <c r="M424" s="514"/>
      <c r="N424" s="514"/>
      <c r="O424" s="514"/>
      <c r="P424" s="514"/>
      <c r="Q424" s="514"/>
      <c r="R424" s="515"/>
      <c r="S424" s="515"/>
      <c r="T424" s="515"/>
      <c r="U424" s="515"/>
      <c r="V424" s="515"/>
      <c r="W424" s="515"/>
      <c r="X424" s="515"/>
      <c r="Y424" s="515"/>
    </row>
    <row r="425" spans="1:25" ht="15.75" customHeight="1">
      <c r="A425" s="697" t="s">
        <v>260</v>
      </c>
      <c r="B425" s="698" t="s">
        <v>261</v>
      </c>
      <c r="C425" s="553" t="s">
        <v>47</v>
      </c>
      <c r="D425" s="564"/>
      <c r="E425" s="530"/>
      <c r="F425" s="530"/>
      <c r="G425" s="530"/>
      <c r="H425" s="530"/>
      <c r="I425" s="513"/>
      <c r="J425" s="514"/>
      <c r="K425" s="514"/>
      <c r="L425" s="514"/>
      <c r="M425" s="514"/>
      <c r="N425" s="514"/>
      <c r="O425" s="514"/>
      <c r="P425" s="514"/>
      <c r="Q425" s="514"/>
      <c r="R425" s="515"/>
      <c r="S425" s="515"/>
      <c r="T425" s="515"/>
      <c r="U425" s="515"/>
      <c r="V425" s="515"/>
      <c r="W425" s="515"/>
      <c r="X425" s="515"/>
      <c r="Y425" s="515"/>
    </row>
    <row r="426" spans="1:25" ht="15.75" customHeight="1">
      <c r="A426" s="697"/>
      <c r="B426" s="698"/>
      <c r="C426" s="492" t="s">
        <v>247</v>
      </c>
      <c r="D426" s="564"/>
      <c r="E426" s="530"/>
      <c r="F426" s="530"/>
      <c r="G426" s="530"/>
      <c r="H426" s="530"/>
      <c r="I426" s="513"/>
      <c r="J426" s="514"/>
      <c r="K426" s="514"/>
      <c r="L426" s="514"/>
      <c r="M426" s="514"/>
      <c r="N426" s="514"/>
      <c r="O426" s="514"/>
      <c r="P426" s="514"/>
      <c r="Q426" s="514"/>
      <c r="R426" s="515"/>
      <c r="S426" s="515"/>
      <c r="T426" s="515"/>
      <c r="U426" s="515"/>
      <c r="V426" s="515"/>
      <c r="W426" s="515"/>
      <c r="X426" s="515"/>
      <c r="Y426" s="515"/>
    </row>
    <row r="427" spans="1:25" ht="15.75" customHeight="1">
      <c r="A427" s="697"/>
      <c r="B427" s="698"/>
      <c r="C427" s="492" t="s">
        <v>262</v>
      </c>
      <c r="D427" s="564"/>
      <c r="E427" s="530"/>
      <c r="F427" s="530"/>
      <c r="G427" s="530"/>
      <c r="H427" s="530"/>
      <c r="I427" s="513"/>
      <c r="J427" s="514"/>
      <c r="K427" s="514"/>
      <c r="L427" s="514"/>
      <c r="M427" s="514"/>
      <c r="N427" s="514"/>
      <c r="O427" s="514"/>
      <c r="P427" s="514"/>
      <c r="Q427" s="514"/>
      <c r="R427" s="515"/>
      <c r="S427" s="515"/>
      <c r="T427" s="515"/>
      <c r="U427" s="515"/>
      <c r="V427" s="515"/>
      <c r="W427" s="515"/>
      <c r="X427" s="515"/>
      <c r="Y427" s="515"/>
    </row>
    <row r="428" spans="1:25" ht="26.75" customHeight="1">
      <c r="A428" s="697"/>
      <c r="B428" s="698"/>
      <c r="C428" s="492" t="s">
        <v>248</v>
      </c>
      <c r="D428" s="564"/>
      <c r="E428" s="530"/>
      <c r="F428" s="530"/>
      <c r="G428" s="530"/>
      <c r="H428" s="530"/>
      <c r="I428" s="513"/>
      <c r="J428" s="514"/>
      <c r="K428" s="514"/>
      <c r="L428" s="514"/>
      <c r="M428" s="514"/>
      <c r="N428" s="514"/>
      <c r="O428" s="514"/>
      <c r="P428" s="514"/>
      <c r="Q428" s="514"/>
      <c r="R428" s="515"/>
      <c r="S428" s="515"/>
      <c r="T428" s="515"/>
      <c r="U428" s="515"/>
      <c r="V428" s="515"/>
      <c r="W428" s="515"/>
      <c r="X428" s="515"/>
      <c r="Y428" s="515"/>
    </row>
    <row r="429" spans="1:25" ht="15.75" customHeight="1">
      <c r="A429" s="717" t="s">
        <v>263</v>
      </c>
      <c r="B429" s="717"/>
      <c r="C429" s="717"/>
      <c r="D429" s="717"/>
      <c r="E429" s="719"/>
      <c r="F429" s="719"/>
      <c r="G429" s="719"/>
      <c r="H429" s="719"/>
      <c r="I429" s="513"/>
      <c r="J429" s="514"/>
      <c r="K429" s="514"/>
      <c r="L429" s="514"/>
      <c r="M429" s="514"/>
      <c r="N429" s="514"/>
      <c r="O429" s="514"/>
      <c r="P429" s="514"/>
      <c r="Q429" s="514"/>
      <c r="R429" s="515"/>
      <c r="S429" s="515"/>
      <c r="T429" s="515"/>
      <c r="U429" s="515"/>
      <c r="V429" s="515"/>
      <c r="W429" s="515"/>
      <c r="X429" s="515"/>
      <c r="Y429" s="515"/>
    </row>
    <row r="430" spans="1:25" ht="15.75" customHeight="1">
      <c r="A430" s="697" t="s">
        <v>155</v>
      </c>
      <c r="B430" s="527" t="s">
        <v>161</v>
      </c>
      <c r="C430" s="537" t="s">
        <v>26</v>
      </c>
      <c r="D430" s="564"/>
      <c r="E430" s="530" t="s">
        <v>264</v>
      </c>
      <c r="F430" s="530" t="s">
        <v>265</v>
      </c>
      <c r="G430" s="530"/>
      <c r="H430" s="530"/>
      <c r="I430" s="513"/>
      <c r="J430" s="514"/>
      <c r="K430" s="514"/>
      <c r="L430" s="514"/>
      <c r="M430" s="514"/>
      <c r="N430" s="514"/>
      <c r="O430" s="514"/>
      <c r="P430" s="514"/>
      <c r="Q430" s="514"/>
      <c r="R430" s="525"/>
      <c r="S430" s="525"/>
      <c r="T430" s="525"/>
      <c r="U430" s="513"/>
      <c r="V430" s="513"/>
      <c r="W430" s="513"/>
      <c r="X430" s="513"/>
      <c r="Y430" s="513"/>
    </row>
    <row r="431" spans="1:25" ht="26.75" customHeight="1">
      <c r="A431" s="697"/>
      <c r="B431" s="527"/>
      <c r="C431" s="519" t="s">
        <v>266</v>
      </c>
      <c r="D431" s="564"/>
      <c r="E431" s="530"/>
      <c r="F431" s="530"/>
      <c r="G431" s="530"/>
      <c r="H431" s="530"/>
      <c r="I431" s="513"/>
      <c r="J431" s="514"/>
      <c r="K431" s="514"/>
      <c r="L431" s="514"/>
      <c r="M431" s="514"/>
      <c r="N431" s="514"/>
      <c r="O431" s="514"/>
      <c r="P431" s="514"/>
      <c r="Q431" s="514"/>
      <c r="R431" s="525"/>
      <c r="S431" s="525"/>
      <c r="T431" s="525"/>
      <c r="U431" s="513"/>
      <c r="V431" s="513"/>
      <c r="W431" s="513"/>
      <c r="X431" s="513"/>
      <c r="Y431" s="513"/>
    </row>
    <row r="432" spans="1:25" ht="15.75" customHeight="1">
      <c r="A432" s="697"/>
      <c r="B432" s="527"/>
      <c r="C432" s="537" t="s">
        <v>40</v>
      </c>
      <c r="D432" s="564"/>
      <c r="E432" s="530"/>
      <c r="F432" s="530"/>
      <c r="G432" s="530"/>
      <c r="H432" s="530"/>
      <c r="I432" s="513"/>
      <c r="J432" s="514"/>
      <c r="K432" s="514"/>
      <c r="L432" s="514"/>
      <c r="M432" s="514"/>
      <c r="N432" s="514"/>
      <c r="O432" s="514"/>
      <c r="P432" s="514"/>
      <c r="Q432" s="514"/>
      <c r="R432" s="525"/>
      <c r="S432" s="525"/>
      <c r="T432" s="525"/>
      <c r="U432" s="525"/>
      <c r="V432" s="525"/>
      <c r="W432" s="525"/>
      <c r="X432" s="525"/>
      <c r="Y432" s="525"/>
    </row>
    <row r="433" spans="1:25" ht="15.75" customHeight="1">
      <c r="A433" s="697"/>
      <c r="B433" s="527"/>
      <c r="C433" s="520" t="s">
        <v>47</v>
      </c>
      <c r="D433" s="564"/>
      <c r="E433" s="530"/>
      <c r="F433" s="530"/>
      <c r="G433" s="530"/>
      <c r="H433" s="530"/>
      <c r="I433" s="513"/>
      <c r="J433" s="514"/>
      <c r="K433" s="514"/>
      <c r="L433" s="514"/>
      <c r="M433" s="514"/>
      <c r="N433" s="514"/>
      <c r="O433" s="514"/>
      <c r="P433" s="514"/>
      <c r="Q433" s="514"/>
      <c r="R433" s="525"/>
      <c r="S433" s="525"/>
      <c r="T433" s="525"/>
      <c r="U433" s="525"/>
      <c r="V433" s="525"/>
      <c r="W433" s="525"/>
      <c r="X433" s="525"/>
      <c r="Y433" s="525"/>
    </row>
    <row r="434" spans="1:25" ht="15.75" customHeight="1">
      <c r="A434" s="697"/>
      <c r="B434" s="527"/>
      <c r="C434" s="496" t="s">
        <v>73</v>
      </c>
      <c r="D434" s="564"/>
      <c r="E434" s="530"/>
      <c r="F434" s="530"/>
      <c r="G434" s="530"/>
      <c r="H434" s="530"/>
      <c r="I434" s="513"/>
      <c r="J434" s="514"/>
      <c r="K434" s="514"/>
      <c r="L434" s="514"/>
      <c r="M434" s="514"/>
      <c r="N434" s="514"/>
      <c r="O434" s="514"/>
      <c r="P434" s="514"/>
      <c r="Q434" s="514"/>
      <c r="R434" s="525"/>
      <c r="S434" s="525"/>
      <c r="T434" s="525"/>
      <c r="U434" s="525"/>
      <c r="V434" s="525"/>
      <c r="W434" s="525"/>
      <c r="X434" s="525"/>
      <c r="Y434" s="525"/>
    </row>
    <row r="435" spans="1:25" ht="15.75" customHeight="1">
      <c r="A435" s="718"/>
      <c r="B435" s="533"/>
      <c r="C435" s="559" t="s">
        <v>267</v>
      </c>
      <c r="D435" s="568"/>
      <c r="E435" s="535"/>
      <c r="F435" s="535"/>
      <c r="G435" s="535"/>
      <c r="H435" s="535"/>
      <c r="I435" s="513"/>
      <c r="J435" s="514"/>
      <c r="K435" s="514"/>
      <c r="L435" s="514"/>
      <c r="M435" s="514"/>
      <c r="N435" s="514"/>
      <c r="O435" s="514"/>
      <c r="P435" s="514"/>
      <c r="Q435" s="514"/>
      <c r="R435" s="513"/>
      <c r="S435" s="513"/>
      <c r="T435" s="513"/>
      <c r="U435" s="513"/>
      <c r="V435" s="513"/>
      <c r="W435" s="513"/>
      <c r="X435" s="513"/>
      <c r="Y435" s="513"/>
    </row>
    <row r="436" spans="1:25" ht="15.75" customHeight="1">
      <c r="A436" s="697" t="s">
        <v>268</v>
      </c>
      <c r="B436" s="527" t="s">
        <v>269</v>
      </c>
      <c r="C436" s="537" t="s">
        <v>1570</v>
      </c>
      <c r="D436" s="564"/>
      <c r="E436" s="530" t="s">
        <v>264</v>
      </c>
      <c r="F436" s="530" t="s">
        <v>270</v>
      </c>
      <c r="G436" s="530" t="s">
        <v>271</v>
      </c>
      <c r="H436" s="530"/>
      <c r="I436" s="513"/>
      <c r="J436" s="514"/>
      <c r="K436" s="514"/>
      <c r="L436" s="514"/>
      <c r="M436" s="514"/>
      <c r="N436" s="514"/>
      <c r="O436" s="514"/>
      <c r="P436" s="514"/>
      <c r="Q436" s="514"/>
      <c r="R436" s="513"/>
      <c r="S436" s="513"/>
      <c r="T436" s="513"/>
      <c r="U436" s="513"/>
      <c r="V436" s="513"/>
      <c r="W436" s="513"/>
      <c r="X436" s="513"/>
      <c r="Y436" s="513"/>
    </row>
    <row r="437" spans="1:25" ht="15.75" customHeight="1">
      <c r="A437" s="697"/>
      <c r="B437" s="515"/>
      <c r="C437" s="517" t="s">
        <v>272</v>
      </c>
      <c r="D437" s="564"/>
      <c r="E437" s="6"/>
      <c r="F437" s="6"/>
      <c r="G437" s="6"/>
      <c r="H437" s="530"/>
      <c r="I437" s="513"/>
      <c r="J437" s="514"/>
      <c r="K437" s="514"/>
      <c r="L437" s="514"/>
      <c r="M437" s="514"/>
      <c r="N437" s="514"/>
      <c r="O437" s="514"/>
      <c r="P437" s="514"/>
      <c r="Q437" s="514"/>
      <c r="R437" s="515"/>
      <c r="S437" s="515"/>
      <c r="T437" s="515"/>
      <c r="U437" s="515"/>
      <c r="V437" s="515"/>
      <c r="W437" s="515"/>
      <c r="X437" s="515"/>
      <c r="Y437" s="515"/>
    </row>
    <row r="438" spans="1:25">
      <c r="A438" s="697"/>
      <c r="B438" s="527" t="s">
        <v>273</v>
      </c>
      <c r="C438" s="528" t="s">
        <v>274</v>
      </c>
      <c r="D438" s="564"/>
      <c r="E438" s="530" t="s">
        <v>275</v>
      </c>
      <c r="F438" s="530" t="s">
        <v>270</v>
      </c>
      <c r="G438" s="530" t="s">
        <v>271</v>
      </c>
      <c r="H438" s="530"/>
      <c r="I438" s="513"/>
      <c r="J438" s="514"/>
      <c r="K438" s="514"/>
      <c r="L438" s="514"/>
      <c r="M438" s="514"/>
      <c r="N438" s="514"/>
      <c r="O438" s="514"/>
      <c r="P438" s="514"/>
      <c r="Q438" s="514"/>
      <c r="R438" s="515"/>
      <c r="S438" s="515"/>
      <c r="T438" s="515"/>
      <c r="U438" s="515"/>
      <c r="V438" s="515"/>
      <c r="W438" s="515"/>
      <c r="X438" s="515"/>
      <c r="Y438" s="515"/>
    </row>
    <row r="439" spans="1:25" ht="15.75" customHeight="1">
      <c r="A439" s="697"/>
      <c r="B439" s="527"/>
      <c r="C439" s="528" t="s">
        <v>276</v>
      </c>
      <c r="D439" s="564"/>
      <c r="E439" s="530"/>
      <c r="F439" s="530"/>
      <c r="G439" s="530"/>
      <c r="H439" s="530"/>
      <c r="I439" s="513"/>
      <c r="J439" s="514"/>
      <c r="K439" s="514"/>
      <c r="L439" s="514"/>
      <c r="M439" s="514"/>
      <c r="N439" s="514"/>
      <c r="O439" s="514"/>
      <c r="P439" s="514"/>
      <c r="Q439" s="514"/>
      <c r="R439" s="515"/>
      <c r="S439" s="515"/>
      <c r="T439" s="515"/>
      <c r="U439" s="515"/>
      <c r="V439" s="515"/>
      <c r="W439" s="515"/>
      <c r="X439" s="515"/>
      <c r="Y439" s="515"/>
    </row>
    <row r="440" spans="1:25" ht="15.75" customHeight="1">
      <c r="A440" s="697"/>
      <c r="B440" s="527" t="s">
        <v>277</v>
      </c>
      <c r="C440" s="537" t="s">
        <v>40</v>
      </c>
      <c r="D440" s="564"/>
      <c r="E440" s="530" t="s">
        <v>275</v>
      </c>
      <c r="F440" s="530" t="s">
        <v>270</v>
      </c>
      <c r="G440" s="530" t="s">
        <v>271</v>
      </c>
      <c r="H440" s="530"/>
      <c r="I440" s="513"/>
      <c r="J440" s="514"/>
      <c r="K440" s="514"/>
      <c r="L440" s="514"/>
      <c r="M440" s="514"/>
      <c r="N440" s="514"/>
      <c r="O440" s="514"/>
      <c r="P440" s="514"/>
      <c r="Q440" s="514"/>
      <c r="R440" s="515"/>
      <c r="S440" s="515"/>
      <c r="T440" s="515"/>
      <c r="U440" s="515"/>
      <c r="V440" s="515"/>
      <c r="W440" s="515"/>
      <c r="X440" s="515"/>
      <c r="Y440" s="515"/>
    </row>
    <row r="441" spans="1:25">
      <c r="A441" s="697"/>
      <c r="B441" s="527" t="s">
        <v>278</v>
      </c>
      <c r="C441" s="493" t="s">
        <v>1566</v>
      </c>
      <c r="D441" s="564"/>
      <c r="E441" s="530" t="s">
        <v>275</v>
      </c>
      <c r="F441" s="530" t="s">
        <v>270</v>
      </c>
      <c r="G441" s="530" t="s">
        <v>271</v>
      </c>
      <c r="H441" s="530"/>
      <c r="I441" s="513"/>
      <c r="J441" s="514"/>
      <c r="K441" s="514"/>
      <c r="L441" s="514"/>
      <c r="M441" s="514"/>
      <c r="N441" s="514"/>
      <c r="O441" s="514"/>
      <c r="P441" s="514"/>
      <c r="Q441" s="514"/>
      <c r="R441" s="515"/>
      <c r="S441" s="515"/>
      <c r="T441" s="515"/>
      <c r="U441" s="515"/>
      <c r="V441" s="515"/>
      <c r="W441" s="515"/>
      <c r="X441" s="515"/>
      <c r="Y441" s="515"/>
    </row>
    <row r="442" spans="1:25" ht="14" customHeight="1">
      <c r="A442" s="697"/>
      <c r="B442" s="527" t="s">
        <v>279</v>
      </c>
      <c r="C442" s="527" t="s">
        <v>280</v>
      </c>
      <c r="D442" s="564"/>
      <c r="E442" s="530"/>
      <c r="F442" s="530"/>
      <c r="G442" s="530"/>
      <c r="H442" s="530"/>
      <c r="I442" s="513"/>
      <c r="J442" s="514"/>
      <c r="K442" s="514"/>
      <c r="L442" s="514"/>
      <c r="M442" s="514"/>
      <c r="N442" s="514"/>
      <c r="O442" s="514"/>
      <c r="P442" s="514"/>
      <c r="Q442" s="514"/>
      <c r="R442" s="515"/>
      <c r="S442" s="515"/>
      <c r="T442" s="515"/>
      <c r="U442" s="515"/>
      <c r="V442" s="515"/>
      <c r="W442" s="515"/>
      <c r="X442" s="515"/>
      <c r="Y442" s="515"/>
    </row>
    <row r="443" spans="1:25" ht="15.75" customHeight="1">
      <c r="A443" s="717" t="s">
        <v>281</v>
      </c>
      <c r="B443" s="717"/>
      <c r="C443" s="717"/>
      <c r="D443" s="717"/>
      <c r="E443" s="719"/>
      <c r="F443" s="719"/>
      <c r="G443" s="719"/>
      <c r="H443" s="719"/>
      <c r="I443" s="513"/>
      <c r="J443" s="514"/>
      <c r="K443" s="514"/>
      <c r="L443" s="514"/>
      <c r="M443" s="514"/>
      <c r="N443" s="514"/>
      <c r="O443" s="514"/>
      <c r="P443" s="514"/>
      <c r="Q443" s="514"/>
      <c r="R443" s="515"/>
      <c r="S443" s="515"/>
      <c r="T443" s="515"/>
      <c r="U443" s="515"/>
      <c r="V443" s="515"/>
      <c r="W443" s="515"/>
      <c r="X443" s="515"/>
      <c r="Y443" s="515"/>
    </row>
    <row r="444" spans="1:25" ht="26.75" customHeight="1">
      <c r="A444" s="697" t="s">
        <v>155</v>
      </c>
      <c r="B444" s="698" t="s">
        <v>161</v>
      </c>
      <c r="C444" s="537" t="s">
        <v>1570</v>
      </c>
      <c r="D444" s="564"/>
      <c r="E444" s="530"/>
      <c r="F444" s="530"/>
      <c r="G444" s="709" t="s">
        <v>282</v>
      </c>
      <c r="H444" s="530"/>
      <c r="I444" s="513"/>
      <c r="J444" s="514"/>
      <c r="K444" s="514"/>
      <c r="L444" s="514"/>
      <c r="M444" s="514"/>
      <c r="N444" s="514"/>
      <c r="O444" s="514"/>
      <c r="P444" s="514"/>
      <c r="Q444" s="514"/>
      <c r="R444" s="515"/>
      <c r="S444" s="515"/>
      <c r="T444" s="515"/>
      <c r="U444" s="515"/>
      <c r="V444" s="515"/>
      <c r="W444" s="515"/>
      <c r="X444" s="515"/>
      <c r="Y444" s="515"/>
    </row>
    <row r="445" spans="1:25" ht="50" customHeight="1">
      <c r="A445" s="697"/>
      <c r="B445" s="698"/>
      <c r="C445" s="519" t="s">
        <v>283</v>
      </c>
      <c r="D445" s="564"/>
      <c r="E445" s="530"/>
      <c r="F445" s="530"/>
      <c r="G445" s="709"/>
      <c r="H445" s="530"/>
      <c r="I445" s="513"/>
      <c r="J445" s="514"/>
      <c r="K445" s="514"/>
      <c r="L445" s="514"/>
      <c r="M445" s="514"/>
      <c r="N445" s="514"/>
      <c r="O445" s="514"/>
      <c r="P445" s="514"/>
      <c r="Q445" s="514"/>
      <c r="R445" s="515"/>
      <c r="S445" s="515"/>
      <c r="T445" s="515"/>
      <c r="U445" s="515"/>
      <c r="V445" s="515"/>
      <c r="W445" s="515"/>
      <c r="X445" s="515"/>
      <c r="Y445" s="515"/>
    </row>
    <row r="446" spans="1:25" ht="15.75" customHeight="1">
      <c r="A446" s="697"/>
      <c r="B446" s="698"/>
      <c r="C446" s="537" t="s">
        <v>38</v>
      </c>
      <c r="D446" s="564"/>
      <c r="E446" s="530"/>
      <c r="F446" s="530"/>
      <c r="G446" s="530"/>
      <c r="H446" s="530"/>
      <c r="I446" s="513"/>
      <c r="J446" s="514"/>
      <c r="K446" s="514"/>
      <c r="L446" s="514"/>
      <c r="M446" s="514"/>
      <c r="N446" s="514"/>
      <c r="O446" s="514"/>
      <c r="P446" s="514"/>
      <c r="Q446" s="514"/>
      <c r="R446" s="515"/>
      <c r="S446" s="515"/>
      <c r="T446" s="515"/>
      <c r="U446" s="515"/>
      <c r="V446" s="515"/>
      <c r="W446" s="515"/>
      <c r="X446" s="515"/>
      <c r="Y446" s="515"/>
    </row>
    <row r="447" spans="1:25" ht="26.75" customHeight="1">
      <c r="A447" s="697"/>
      <c r="B447" s="698"/>
      <c r="C447" s="519" t="s">
        <v>284</v>
      </c>
      <c r="D447" s="564"/>
      <c r="E447" s="530"/>
      <c r="F447" s="530"/>
      <c r="G447" s="530"/>
      <c r="H447" s="530"/>
      <c r="I447" s="513"/>
      <c r="J447" s="514"/>
      <c r="K447" s="514"/>
      <c r="L447" s="514"/>
      <c r="M447" s="514"/>
      <c r="N447" s="514"/>
      <c r="O447" s="514"/>
      <c r="P447" s="514"/>
      <c r="Q447" s="514"/>
      <c r="R447" s="515"/>
      <c r="S447" s="515"/>
      <c r="T447" s="515"/>
      <c r="U447" s="515"/>
      <c r="V447" s="515"/>
      <c r="W447" s="515"/>
      <c r="X447" s="515"/>
      <c r="Y447" s="515"/>
    </row>
    <row r="448" spans="1:25" ht="15.75" customHeight="1">
      <c r="A448" s="697"/>
      <c r="B448" s="698"/>
      <c r="C448" s="537" t="s">
        <v>40</v>
      </c>
      <c r="D448" s="564"/>
      <c r="E448" s="530"/>
      <c r="F448" s="530"/>
      <c r="G448" s="530"/>
      <c r="H448" s="530"/>
      <c r="I448" s="513"/>
      <c r="J448" s="514"/>
      <c r="K448" s="514"/>
      <c r="L448" s="514"/>
      <c r="M448" s="514"/>
      <c r="N448" s="514"/>
      <c r="O448" s="514"/>
      <c r="P448" s="514"/>
      <c r="Q448" s="514"/>
      <c r="R448" s="515"/>
      <c r="S448" s="515"/>
      <c r="T448" s="515"/>
      <c r="U448" s="515"/>
      <c r="V448" s="515"/>
      <c r="W448" s="515"/>
      <c r="X448" s="515"/>
      <c r="Y448" s="515"/>
    </row>
    <row r="449" spans="1:25" ht="26.75" customHeight="1">
      <c r="A449" s="697"/>
      <c r="B449" s="698"/>
      <c r="C449" s="519" t="s">
        <v>285</v>
      </c>
      <c r="D449" s="564"/>
      <c r="E449" s="530"/>
      <c r="F449" s="530"/>
      <c r="G449" s="530"/>
      <c r="H449" s="530"/>
      <c r="I449" s="513"/>
      <c r="J449" s="514"/>
      <c r="K449" s="514"/>
      <c r="L449" s="514"/>
      <c r="M449" s="514"/>
      <c r="N449" s="514"/>
      <c r="O449" s="514"/>
      <c r="P449" s="514"/>
      <c r="Q449" s="514"/>
      <c r="R449" s="515"/>
      <c r="S449" s="515"/>
      <c r="T449" s="515"/>
      <c r="U449" s="515"/>
      <c r="V449" s="515"/>
      <c r="W449" s="515"/>
      <c r="X449" s="515"/>
      <c r="Y449" s="515"/>
    </row>
    <row r="450" spans="1:25" ht="15.75" customHeight="1">
      <c r="A450" s="697"/>
      <c r="B450" s="698"/>
      <c r="C450" s="520" t="s">
        <v>47</v>
      </c>
      <c r="D450" s="564"/>
      <c r="E450" s="530"/>
      <c r="F450" s="530"/>
      <c r="G450" s="530"/>
      <c r="H450" s="530"/>
      <c r="I450" s="513"/>
      <c r="J450" s="514"/>
      <c r="K450" s="514"/>
      <c r="L450" s="514"/>
      <c r="M450" s="514"/>
      <c r="N450" s="514"/>
      <c r="O450" s="514"/>
      <c r="P450" s="514"/>
      <c r="Q450" s="514"/>
      <c r="R450" s="515"/>
      <c r="S450" s="515"/>
      <c r="T450" s="515"/>
      <c r="U450" s="515"/>
      <c r="V450" s="515"/>
      <c r="W450" s="515"/>
      <c r="X450" s="515"/>
      <c r="Y450" s="515"/>
    </row>
    <row r="451" spans="1:25" ht="15.75" customHeight="1">
      <c r="A451" s="697"/>
      <c r="B451" s="698"/>
      <c r="C451" s="496" t="s">
        <v>73</v>
      </c>
      <c r="D451" s="564"/>
      <c r="E451" s="530"/>
      <c r="F451" s="530"/>
      <c r="G451" s="530"/>
      <c r="H451" s="530"/>
      <c r="I451" s="513"/>
      <c r="J451" s="514"/>
      <c r="K451" s="514"/>
      <c r="L451" s="514"/>
      <c r="M451" s="514"/>
      <c r="N451" s="514"/>
      <c r="O451" s="514"/>
      <c r="P451" s="514"/>
      <c r="Q451" s="514"/>
      <c r="R451" s="515"/>
      <c r="S451" s="515"/>
      <c r="T451" s="515"/>
      <c r="U451" s="515"/>
      <c r="V451" s="515"/>
      <c r="W451" s="515"/>
      <c r="X451" s="515"/>
      <c r="Y451" s="515"/>
    </row>
    <row r="452" spans="1:25" ht="15.75" customHeight="1">
      <c r="A452" s="697"/>
      <c r="B452" s="698"/>
      <c r="C452" s="496" t="s">
        <v>135</v>
      </c>
      <c r="D452" s="564"/>
      <c r="E452" s="530"/>
      <c r="F452" s="530"/>
      <c r="G452" s="530"/>
      <c r="H452" s="530"/>
      <c r="I452" s="513"/>
      <c r="J452" s="514"/>
      <c r="K452" s="514"/>
      <c r="L452" s="514"/>
      <c r="M452" s="514"/>
      <c r="N452" s="514"/>
      <c r="O452" s="514"/>
      <c r="P452" s="514"/>
      <c r="Q452" s="514"/>
      <c r="R452" s="515"/>
      <c r="S452" s="515"/>
      <c r="T452" s="515"/>
      <c r="U452" s="515"/>
      <c r="V452" s="515"/>
      <c r="W452" s="515"/>
      <c r="X452" s="515"/>
      <c r="Y452" s="515"/>
    </row>
    <row r="453" spans="1:25" ht="15.75" customHeight="1">
      <c r="A453" s="697"/>
      <c r="B453" s="698"/>
      <c r="C453" s="496" t="s">
        <v>197</v>
      </c>
      <c r="D453" s="564"/>
      <c r="E453" s="530"/>
      <c r="F453" s="530"/>
      <c r="G453" s="530"/>
      <c r="H453" s="530"/>
      <c r="I453" s="513"/>
      <c r="J453" s="514"/>
      <c r="K453" s="514"/>
      <c r="L453" s="514"/>
      <c r="M453" s="514"/>
      <c r="N453" s="514"/>
      <c r="O453" s="514"/>
      <c r="P453" s="514"/>
      <c r="Q453" s="514"/>
      <c r="R453" s="515"/>
      <c r="S453" s="515"/>
      <c r="T453" s="515"/>
      <c r="U453" s="515"/>
      <c r="V453" s="515"/>
      <c r="W453" s="515"/>
      <c r="X453" s="515"/>
      <c r="Y453" s="515"/>
    </row>
    <row r="454" spans="1:25" ht="15.75" customHeight="1">
      <c r="A454" s="718"/>
      <c r="B454" s="699"/>
      <c r="C454" s="497" t="s">
        <v>286</v>
      </c>
      <c r="D454" s="568"/>
      <c r="E454" s="535"/>
      <c r="F454" s="535"/>
      <c r="G454" s="535"/>
      <c r="H454" s="535"/>
      <c r="I454" s="513"/>
      <c r="J454" s="514"/>
      <c r="K454" s="514"/>
      <c r="L454" s="514"/>
      <c r="M454" s="514"/>
      <c r="N454" s="514"/>
      <c r="O454" s="514"/>
      <c r="P454" s="514"/>
      <c r="Q454" s="514"/>
      <c r="R454" s="515"/>
      <c r="S454" s="515"/>
      <c r="T454" s="515"/>
      <c r="U454" s="515"/>
      <c r="V454" s="515"/>
      <c r="W454" s="515"/>
      <c r="X454" s="515"/>
      <c r="Y454" s="515"/>
    </row>
    <row r="455" spans="1:25" ht="15.75" customHeight="1">
      <c r="A455" s="697" t="s">
        <v>287</v>
      </c>
      <c r="B455" s="700" t="s">
        <v>288</v>
      </c>
      <c r="C455" s="537" t="s">
        <v>1570</v>
      </c>
      <c r="D455" s="570"/>
      <c r="E455" s="539" t="s">
        <v>275</v>
      </c>
      <c r="F455" s="539" t="s">
        <v>270</v>
      </c>
      <c r="G455" s="539"/>
      <c r="H455" s="539"/>
      <c r="I455" s="513"/>
      <c r="J455" s="514"/>
      <c r="K455" s="514"/>
      <c r="L455" s="514"/>
      <c r="M455" s="514"/>
      <c r="N455" s="514"/>
      <c r="O455" s="514"/>
      <c r="P455" s="514"/>
      <c r="Q455" s="514"/>
      <c r="R455" s="515"/>
      <c r="S455" s="515"/>
      <c r="T455" s="515"/>
      <c r="U455" s="515"/>
      <c r="V455" s="515"/>
      <c r="W455" s="515"/>
      <c r="X455" s="515"/>
      <c r="Y455" s="515"/>
    </row>
    <row r="456" spans="1:25" ht="15.75" customHeight="1">
      <c r="A456" s="697"/>
      <c r="B456" s="698"/>
      <c r="C456" s="527" t="s">
        <v>289</v>
      </c>
      <c r="D456" s="564"/>
      <c r="E456" s="530"/>
      <c r="F456" s="530"/>
      <c r="G456" s="530"/>
      <c r="H456" s="530"/>
      <c r="I456" s="513"/>
      <c r="J456" s="514"/>
      <c r="K456" s="514"/>
      <c r="L456" s="514"/>
      <c r="M456" s="514"/>
      <c r="N456" s="514"/>
      <c r="O456" s="514"/>
      <c r="P456" s="514"/>
      <c r="Q456" s="514"/>
      <c r="R456" s="515"/>
      <c r="S456" s="515"/>
      <c r="T456" s="515"/>
      <c r="U456" s="515"/>
      <c r="V456" s="515"/>
      <c r="W456" s="515"/>
      <c r="X456" s="515"/>
      <c r="Y456" s="515"/>
    </row>
    <row r="457" spans="1:25" ht="15.75" customHeight="1">
      <c r="A457" s="697"/>
      <c r="B457" s="698"/>
      <c r="C457" s="537" t="s">
        <v>38</v>
      </c>
      <c r="D457" s="564"/>
      <c r="E457" s="530"/>
      <c r="F457" s="530"/>
      <c r="G457" s="530"/>
      <c r="H457" s="530"/>
      <c r="I457" s="513"/>
      <c r="J457" s="514"/>
      <c r="K457" s="514"/>
      <c r="L457" s="514"/>
      <c r="M457" s="514"/>
      <c r="N457" s="514"/>
      <c r="O457" s="514"/>
      <c r="P457" s="514"/>
      <c r="Q457" s="514"/>
      <c r="R457" s="515"/>
      <c r="S457" s="515"/>
      <c r="T457" s="515"/>
      <c r="U457" s="515"/>
      <c r="V457" s="515"/>
      <c r="W457" s="515"/>
      <c r="X457" s="515"/>
      <c r="Y457" s="515"/>
    </row>
    <row r="458" spans="1:25" ht="26.75" customHeight="1">
      <c r="A458" s="697"/>
      <c r="B458" s="698"/>
      <c r="C458" s="527" t="s">
        <v>284</v>
      </c>
      <c r="D458" s="564"/>
      <c r="E458" s="530"/>
      <c r="F458" s="530"/>
      <c r="G458" s="530"/>
      <c r="H458" s="530"/>
      <c r="I458" s="513"/>
      <c r="J458" s="514"/>
      <c r="K458" s="514"/>
      <c r="L458" s="514"/>
      <c r="M458" s="514"/>
      <c r="N458" s="514"/>
      <c r="O458" s="514"/>
      <c r="P458" s="514"/>
      <c r="Q458" s="514"/>
      <c r="R458" s="515"/>
      <c r="S458" s="515"/>
      <c r="T458" s="515"/>
      <c r="U458" s="515"/>
      <c r="V458" s="515"/>
      <c r="W458" s="515"/>
      <c r="X458" s="515"/>
      <c r="Y458" s="515"/>
    </row>
    <row r="459" spans="1:25" ht="15.75" customHeight="1">
      <c r="A459" s="697"/>
      <c r="B459" s="698"/>
      <c r="C459" s="537" t="s">
        <v>40</v>
      </c>
      <c r="D459" s="564"/>
      <c r="E459" s="530"/>
      <c r="F459" s="530"/>
      <c r="G459" s="530"/>
      <c r="H459" s="530"/>
      <c r="I459" s="513"/>
      <c r="J459" s="514"/>
      <c r="K459" s="514"/>
      <c r="L459" s="514"/>
      <c r="M459" s="514"/>
      <c r="N459" s="514"/>
      <c r="O459" s="514"/>
      <c r="P459" s="514"/>
      <c r="Q459" s="514"/>
      <c r="R459" s="515"/>
      <c r="S459" s="515"/>
      <c r="T459" s="515"/>
      <c r="U459" s="515"/>
      <c r="V459" s="515"/>
      <c r="W459" s="515"/>
      <c r="X459" s="515"/>
      <c r="Y459" s="515"/>
    </row>
    <row r="460" spans="1:25" ht="26.75" customHeight="1">
      <c r="A460" s="697"/>
      <c r="B460" s="698"/>
      <c r="C460" s="527" t="s">
        <v>285</v>
      </c>
      <c r="D460" s="564"/>
      <c r="E460" s="530"/>
      <c r="F460" s="530"/>
      <c r="G460" s="530"/>
      <c r="H460" s="530"/>
      <c r="I460" s="513"/>
      <c r="J460" s="514"/>
      <c r="K460" s="514"/>
      <c r="L460" s="514"/>
      <c r="M460" s="514"/>
      <c r="N460" s="514"/>
      <c r="O460" s="514"/>
      <c r="P460" s="514"/>
      <c r="Q460" s="514"/>
      <c r="R460" s="515"/>
      <c r="S460" s="515"/>
      <c r="T460" s="515"/>
      <c r="U460" s="515"/>
      <c r="V460" s="515"/>
      <c r="W460" s="515"/>
      <c r="X460" s="515"/>
      <c r="Y460" s="515"/>
    </row>
    <row r="461" spans="1:25" ht="15.75" customHeight="1">
      <c r="A461" s="697"/>
      <c r="B461" s="698"/>
      <c r="C461" s="553" t="s">
        <v>47</v>
      </c>
      <c r="D461" s="564"/>
      <c r="E461" s="530"/>
      <c r="F461" s="530"/>
      <c r="G461" s="530"/>
      <c r="H461" s="530"/>
      <c r="I461" s="513"/>
      <c r="J461" s="514"/>
      <c r="K461" s="514"/>
      <c r="L461" s="514"/>
      <c r="M461" s="514"/>
      <c r="N461" s="514"/>
      <c r="O461" s="514"/>
      <c r="P461" s="514"/>
      <c r="Q461" s="514"/>
      <c r="R461" s="515"/>
      <c r="S461" s="515"/>
      <c r="T461" s="515"/>
      <c r="U461" s="515"/>
      <c r="V461" s="515"/>
      <c r="W461" s="515"/>
      <c r="X461" s="515"/>
      <c r="Y461" s="515"/>
    </row>
    <row r="462" spans="1:25" ht="15.75" customHeight="1">
      <c r="A462" s="697"/>
      <c r="B462" s="698"/>
      <c r="C462" s="495" t="s">
        <v>135</v>
      </c>
      <c r="D462" s="564"/>
      <c r="E462" s="530"/>
      <c r="F462" s="530"/>
      <c r="G462" s="530"/>
      <c r="H462" s="530"/>
      <c r="I462" s="513"/>
      <c r="J462" s="514"/>
      <c r="K462" s="514"/>
      <c r="L462" s="514"/>
      <c r="M462" s="514"/>
      <c r="N462" s="514"/>
      <c r="O462" s="514"/>
      <c r="P462" s="514"/>
      <c r="Q462" s="514"/>
      <c r="R462" s="515"/>
      <c r="S462" s="515"/>
      <c r="T462" s="515"/>
      <c r="U462" s="515"/>
      <c r="V462" s="515"/>
      <c r="W462" s="515"/>
      <c r="X462" s="515"/>
      <c r="Y462" s="515"/>
    </row>
    <row r="463" spans="1:25" ht="15.75" customHeight="1">
      <c r="A463" s="697"/>
      <c r="B463" s="699"/>
      <c r="C463" s="494" t="s">
        <v>286</v>
      </c>
      <c r="D463" s="568"/>
      <c r="E463" s="535"/>
      <c r="F463" s="535"/>
      <c r="G463" s="535"/>
      <c r="H463" s="535"/>
      <c r="I463" s="513"/>
      <c r="J463" s="514"/>
      <c r="K463" s="514"/>
      <c r="L463" s="514"/>
      <c r="M463" s="514"/>
      <c r="N463" s="514"/>
      <c r="O463" s="514"/>
      <c r="P463" s="514"/>
      <c r="Q463" s="514"/>
      <c r="R463" s="515"/>
      <c r="S463" s="515"/>
      <c r="T463" s="515"/>
      <c r="U463" s="515"/>
      <c r="V463" s="515"/>
      <c r="W463" s="515"/>
      <c r="X463" s="515"/>
      <c r="Y463" s="515"/>
    </row>
    <row r="464" spans="1:25" ht="15.75" customHeight="1">
      <c r="A464" s="697"/>
      <c r="B464" s="700" t="s">
        <v>290</v>
      </c>
      <c r="C464" s="537" t="s">
        <v>1570</v>
      </c>
      <c r="D464" s="570"/>
      <c r="E464" s="539" t="s">
        <v>275</v>
      </c>
      <c r="F464" s="539" t="s">
        <v>270</v>
      </c>
      <c r="G464" s="539"/>
      <c r="H464" s="539"/>
      <c r="I464" s="513"/>
      <c r="J464" s="514"/>
      <c r="K464" s="514"/>
      <c r="L464" s="514"/>
      <c r="M464" s="514"/>
      <c r="N464" s="514"/>
      <c r="O464" s="514"/>
      <c r="P464" s="514"/>
      <c r="Q464" s="514"/>
      <c r="R464" s="515"/>
      <c r="S464" s="515"/>
      <c r="T464" s="515"/>
      <c r="U464" s="515"/>
      <c r="V464" s="515"/>
      <c r="W464" s="515"/>
      <c r="X464" s="515"/>
      <c r="Y464" s="515"/>
    </row>
    <row r="465" spans="1:25" ht="15.75" customHeight="1">
      <c r="A465" s="697"/>
      <c r="B465" s="698"/>
      <c r="C465" s="527" t="s">
        <v>291</v>
      </c>
      <c r="D465" s="564"/>
      <c r="E465" s="530"/>
      <c r="F465" s="530"/>
      <c r="G465" s="530"/>
      <c r="H465" s="530"/>
      <c r="I465" s="513"/>
      <c r="J465" s="514"/>
      <c r="K465" s="514"/>
      <c r="L465" s="514"/>
      <c r="M465" s="514"/>
      <c r="N465" s="514"/>
      <c r="O465" s="514"/>
      <c r="P465" s="514"/>
      <c r="Q465" s="514"/>
      <c r="R465" s="515"/>
      <c r="S465" s="515"/>
      <c r="T465" s="515"/>
      <c r="U465" s="515"/>
      <c r="V465" s="515"/>
      <c r="W465" s="515"/>
      <c r="X465" s="515"/>
      <c r="Y465" s="515"/>
    </row>
    <row r="466" spans="1:25" ht="15.75" customHeight="1">
      <c r="A466" s="697"/>
      <c r="B466" s="698"/>
      <c r="C466" s="537" t="s">
        <v>38</v>
      </c>
      <c r="D466" s="564"/>
      <c r="E466" s="530"/>
      <c r="F466" s="530"/>
      <c r="G466" s="530"/>
      <c r="H466" s="530"/>
      <c r="I466" s="513"/>
      <c r="J466" s="514"/>
      <c r="K466" s="514"/>
      <c r="L466" s="514"/>
      <c r="M466" s="514"/>
      <c r="N466" s="514"/>
      <c r="O466" s="514"/>
      <c r="P466" s="514"/>
      <c r="Q466" s="514"/>
      <c r="R466" s="515"/>
      <c r="S466" s="515"/>
      <c r="T466" s="515"/>
      <c r="U466" s="515"/>
      <c r="V466" s="515"/>
      <c r="W466" s="515"/>
      <c r="X466" s="515"/>
      <c r="Y466" s="515"/>
    </row>
    <row r="467" spans="1:25" ht="26.75" customHeight="1">
      <c r="A467" s="697"/>
      <c r="B467" s="698"/>
      <c r="C467" s="527" t="s">
        <v>284</v>
      </c>
      <c r="D467" s="564"/>
      <c r="E467" s="530"/>
      <c r="F467" s="530"/>
      <c r="G467" s="530"/>
      <c r="H467" s="530"/>
      <c r="I467" s="513"/>
      <c r="J467" s="514"/>
      <c r="K467" s="514"/>
      <c r="L467" s="514"/>
      <c r="M467" s="514"/>
      <c r="N467" s="514"/>
      <c r="O467" s="514"/>
      <c r="P467" s="514"/>
      <c r="Q467" s="514"/>
      <c r="R467" s="515"/>
      <c r="S467" s="515"/>
      <c r="T467" s="515"/>
      <c r="U467" s="515"/>
      <c r="V467" s="515"/>
      <c r="W467" s="515"/>
      <c r="X467" s="515"/>
      <c r="Y467" s="515"/>
    </row>
    <row r="468" spans="1:25" ht="15.75" customHeight="1">
      <c r="A468" s="697"/>
      <c r="B468" s="698"/>
      <c r="C468" s="537" t="s">
        <v>40</v>
      </c>
      <c r="D468" s="564"/>
      <c r="E468" s="530"/>
      <c r="F468" s="530"/>
      <c r="G468" s="530"/>
      <c r="H468" s="530"/>
      <c r="I468" s="513"/>
      <c r="J468" s="514"/>
      <c r="K468" s="514"/>
      <c r="L468" s="514"/>
      <c r="M468" s="514"/>
      <c r="N468" s="514"/>
      <c r="O468" s="514"/>
      <c r="P468" s="514"/>
      <c r="Q468" s="514"/>
      <c r="R468" s="515"/>
      <c r="S468" s="515"/>
      <c r="T468" s="515"/>
      <c r="U468" s="515"/>
      <c r="V468" s="515"/>
      <c r="W468" s="515"/>
      <c r="X468" s="515"/>
      <c r="Y468" s="515"/>
    </row>
    <row r="469" spans="1:25" ht="26.75" customHeight="1">
      <c r="A469" s="697"/>
      <c r="B469" s="698"/>
      <c r="C469" s="527" t="s">
        <v>285</v>
      </c>
      <c r="D469" s="564"/>
      <c r="E469" s="530"/>
      <c r="F469" s="530"/>
      <c r="G469" s="530"/>
      <c r="H469" s="530"/>
      <c r="I469" s="513"/>
      <c r="J469" s="514"/>
      <c r="K469" s="514"/>
      <c r="L469" s="514"/>
      <c r="M469" s="514"/>
      <c r="N469" s="514"/>
      <c r="O469" s="514"/>
      <c r="P469" s="514"/>
      <c r="Q469" s="514"/>
      <c r="R469" s="515"/>
      <c r="S469" s="515"/>
      <c r="T469" s="515"/>
      <c r="U469" s="515"/>
      <c r="V469" s="515"/>
      <c r="W469" s="515"/>
      <c r="X469" s="515"/>
      <c r="Y469" s="515"/>
    </row>
    <row r="470" spans="1:25" ht="15.75" customHeight="1">
      <c r="A470" s="697"/>
      <c r="B470" s="698"/>
      <c r="C470" s="553" t="s">
        <v>47</v>
      </c>
      <c r="D470" s="564"/>
      <c r="E470" s="530"/>
      <c r="F470" s="530"/>
      <c r="G470" s="530"/>
      <c r="H470" s="530"/>
      <c r="I470" s="513"/>
      <c r="J470" s="514"/>
      <c r="K470" s="514"/>
      <c r="L470" s="514"/>
      <c r="M470" s="514"/>
      <c r="N470" s="514"/>
      <c r="O470" s="514"/>
      <c r="P470" s="514"/>
      <c r="Q470" s="514"/>
      <c r="R470" s="515"/>
      <c r="S470" s="515"/>
      <c r="T470" s="515"/>
      <c r="U470" s="515"/>
      <c r="V470" s="515"/>
      <c r="W470" s="515"/>
      <c r="X470" s="515"/>
      <c r="Y470" s="515"/>
    </row>
    <row r="471" spans="1:25" ht="15.75" customHeight="1">
      <c r="A471" s="697"/>
      <c r="B471" s="699"/>
      <c r="C471" s="494" t="s">
        <v>135</v>
      </c>
      <c r="D471" s="568"/>
      <c r="E471" s="535"/>
      <c r="F471" s="535"/>
      <c r="G471" s="535"/>
      <c r="H471" s="535"/>
      <c r="I471" s="513"/>
      <c r="J471" s="514"/>
      <c r="K471" s="514"/>
      <c r="L471" s="514"/>
      <c r="M471" s="514"/>
      <c r="N471" s="514"/>
      <c r="O471" s="514"/>
      <c r="P471" s="514"/>
      <c r="Q471" s="514"/>
      <c r="R471" s="515"/>
      <c r="S471" s="515"/>
      <c r="T471" s="515"/>
      <c r="U471" s="515"/>
      <c r="V471" s="515"/>
      <c r="W471" s="515"/>
      <c r="X471" s="515"/>
      <c r="Y471" s="515"/>
    </row>
    <row r="472" spans="1:25" ht="15.75" customHeight="1">
      <c r="A472" s="697"/>
      <c r="B472" s="700" t="s">
        <v>292</v>
      </c>
      <c r="C472" s="537" t="s">
        <v>1570</v>
      </c>
      <c r="D472" s="570"/>
      <c r="E472" s="539" t="s">
        <v>275</v>
      </c>
      <c r="F472" s="539" t="s">
        <v>270</v>
      </c>
      <c r="G472" s="539" t="s">
        <v>293</v>
      </c>
      <c r="H472" s="539"/>
      <c r="I472" s="513"/>
      <c r="J472" s="514"/>
      <c r="K472" s="514"/>
      <c r="L472" s="514"/>
      <c r="M472" s="514"/>
      <c r="N472" s="514"/>
      <c r="O472" s="514"/>
      <c r="P472" s="514"/>
      <c r="Q472" s="514"/>
      <c r="R472" s="515"/>
      <c r="S472" s="515"/>
      <c r="T472" s="515"/>
      <c r="U472" s="515"/>
      <c r="V472" s="515"/>
      <c r="W472" s="515"/>
      <c r="X472" s="515"/>
      <c r="Y472" s="515"/>
    </row>
    <row r="473" spans="1:25" ht="15.75" customHeight="1">
      <c r="A473" s="697"/>
      <c r="B473" s="698"/>
      <c r="C473" s="527" t="s">
        <v>289</v>
      </c>
      <c r="D473" s="564"/>
      <c r="E473" s="530"/>
      <c r="F473" s="530"/>
      <c r="G473" s="530"/>
      <c r="H473" s="530"/>
      <c r="I473" s="513"/>
      <c r="J473" s="514"/>
      <c r="K473" s="514"/>
      <c r="L473" s="514"/>
      <c r="M473" s="514"/>
      <c r="N473" s="514"/>
      <c r="O473" s="514"/>
      <c r="P473" s="514"/>
      <c r="Q473" s="514"/>
      <c r="R473" s="515"/>
      <c r="S473" s="515"/>
      <c r="T473" s="515"/>
      <c r="U473" s="515"/>
      <c r="V473" s="515"/>
      <c r="W473" s="515"/>
      <c r="X473" s="515"/>
      <c r="Y473" s="515"/>
    </row>
    <row r="474" spans="1:25" ht="15.75" customHeight="1">
      <c r="A474" s="697"/>
      <c r="B474" s="698"/>
      <c r="C474" s="528" t="s">
        <v>294</v>
      </c>
      <c r="D474" s="564"/>
      <c r="E474" s="530"/>
      <c r="F474" s="530"/>
      <c r="G474" s="530"/>
      <c r="H474" s="530"/>
      <c r="I474" s="513"/>
      <c r="J474" s="514"/>
      <c r="K474" s="514"/>
      <c r="L474" s="514"/>
      <c r="M474" s="514"/>
      <c r="N474" s="514"/>
      <c r="O474" s="514"/>
      <c r="P474" s="514"/>
      <c r="Q474" s="514"/>
      <c r="R474" s="515"/>
      <c r="S474" s="515"/>
      <c r="T474" s="515"/>
      <c r="U474" s="515"/>
      <c r="V474" s="515"/>
      <c r="W474" s="515"/>
      <c r="X474" s="515"/>
      <c r="Y474" s="515"/>
    </row>
    <row r="475" spans="1:25" ht="15.75" customHeight="1">
      <c r="A475" s="697"/>
      <c r="B475" s="698"/>
      <c r="C475" s="537" t="s">
        <v>38</v>
      </c>
      <c r="D475" s="564"/>
      <c r="E475" s="530"/>
      <c r="F475" s="530"/>
      <c r="G475" s="530"/>
      <c r="H475" s="530"/>
      <c r="I475" s="513"/>
      <c r="J475" s="514"/>
      <c r="K475" s="514"/>
      <c r="L475" s="514"/>
      <c r="M475" s="514"/>
      <c r="N475" s="514"/>
      <c r="O475" s="514"/>
      <c r="P475" s="514"/>
      <c r="Q475" s="514"/>
      <c r="R475" s="515"/>
      <c r="S475" s="515"/>
      <c r="T475" s="515"/>
      <c r="U475" s="515"/>
      <c r="V475" s="515"/>
      <c r="W475" s="515"/>
      <c r="X475" s="515"/>
      <c r="Y475" s="515"/>
    </row>
    <row r="476" spans="1:25" ht="26.75" customHeight="1">
      <c r="A476" s="697"/>
      <c r="B476" s="698"/>
      <c r="C476" s="527" t="s">
        <v>284</v>
      </c>
      <c r="D476" s="564"/>
      <c r="E476" s="530"/>
      <c r="F476" s="530"/>
      <c r="G476" s="530"/>
      <c r="H476" s="530"/>
      <c r="I476" s="513"/>
      <c r="J476" s="514"/>
      <c r="K476" s="514"/>
      <c r="L476" s="514"/>
      <c r="M476" s="514"/>
      <c r="N476" s="514"/>
      <c r="O476" s="514"/>
      <c r="P476" s="514"/>
      <c r="Q476" s="514"/>
      <c r="R476" s="515"/>
      <c r="S476" s="515"/>
      <c r="T476" s="515"/>
      <c r="U476" s="515"/>
      <c r="V476" s="515"/>
      <c r="W476" s="515"/>
      <c r="X476" s="515"/>
      <c r="Y476" s="515"/>
    </row>
    <row r="477" spans="1:25" ht="15.75" customHeight="1">
      <c r="A477" s="697"/>
      <c r="B477" s="698"/>
      <c r="C477" s="537" t="s">
        <v>40</v>
      </c>
      <c r="D477" s="564"/>
      <c r="E477" s="530"/>
      <c r="F477" s="530"/>
      <c r="G477" s="530"/>
      <c r="H477" s="530"/>
      <c r="I477" s="513"/>
      <c r="J477" s="514"/>
      <c r="K477" s="514"/>
      <c r="L477" s="514"/>
      <c r="M477" s="514"/>
      <c r="N477" s="514"/>
      <c r="O477" s="514"/>
      <c r="P477" s="514"/>
      <c r="Q477" s="514"/>
      <c r="R477" s="515"/>
      <c r="S477" s="515"/>
      <c r="T477" s="515"/>
      <c r="U477" s="515"/>
      <c r="V477" s="515"/>
      <c r="W477" s="515"/>
      <c r="X477" s="515"/>
      <c r="Y477" s="515"/>
    </row>
    <row r="478" spans="1:25" ht="26.75" customHeight="1">
      <c r="A478" s="697"/>
      <c r="B478" s="699"/>
      <c r="C478" s="533" t="s">
        <v>285</v>
      </c>
      <c r="D478" s="568"/>
      <c r="E478" s="535"/>
      <c r="F478" s="535"/>
      <c r="G478" s="535"/>
      <c r="H478" s="535"/>
      <c r="I478" s="513"/>
      <c r="J478" s="514"/>
      <c r="K478" s="514"/>
      <c r="L478" s="514"/>
      <c r="M478" s="514"/>
      <c r="N478" s="514"/>
      <c r="O478" s="514"/>
      <c r="P478" s="514"/>
      <c r="Q478" s="514"/>
      <c r="R478" s="515"/>
      <c r="S478" s="515"/>
      <c r="T478" s="515"/>
      <c r="U478" s="515"/>
      <c r="V478" s="515"/>
      <c r="W478" s="515"/>
      <c r="X478" s="515"/>
      <c r="Y478" s="515"/>
    </row>
    <row r="479" spans="1:25" ht="15.75" customHeight="1">
      <c r="A479" s="697"/>
      <c r="B479" s="527" t="s">
        <v>295</v>
      </c>
      <c r="C479" s="537" t="s">
        <v>26</v>
      </c>
      <c r="D479" s="564"/>
      <c r="E479" s="530" t="s">
        <v>275</v>
      </c>
      <c r="F479" s="530" t="s">
        <v>270</v>
      </c>
      <c r="G479" s="530" t="s">
        <v>293</v>
      </c>
      <c r="H479" s="530"/>
      <c r="I479" s="513"/>
      <c r="J479" s="514"/>
      <c r="K479" s="514"/>
      <c r="L479" s="514"/>
      <c r="M479" s="514"/>
      <c r="N479" s="514"/>
      <c r="O479" s="514"/>
      <c r="P479" s="514"/>
      <c r="Q479" s="514"/>
      <c r="R479" s="515"/>
      <c r="S479" s="515"/>
      <c r="T479" s="515"/>
      <c r="U479" s="515"/>
      <c r="V479" s="515"/>
      <c r="W479" s="515"/>
      <c r="X479" s="515"/>
      <c r="Y479" s="515"/>
    </row>
    <row r="480" spans="1:25" ht="15.75" customHeight="1">
      <c r="A480" s="697"/>
      <c r="B480" s="527"/>
      <c r="C480" s="527" t="s">
        <v>289</v>
      </c>
      <c r="D480" s="564"/>
      <c r="E480" s="530"/>
      <c r="F480" s="530"/>
      <c r="G480" s="530"/>
      <c r="H480" s="530"/>
      <c r="I480" s="513"/>
      <c r="J480" s="514"/>
      <c r="K480" s="514"/>
      <c r="L480" s="514"/>
      <c r="M480" s="514"/>
      <c r="N480" s="514"/>
      <c r="O480" s="514"/>
      <c r="P480" s="514"/>
      <c r="Q480" s="514"/>
      <c r="R480" s="515"/>
      <c r="S480" s="515"/>
      <c r="T480" s="515"/>
      <c r="U480" s="515"/>
      <c r="V480" s="515"/>
      <c r="W480" s="515"/>
      <c r="X480" s="515"/>
      <c r="Y480" s="515"/>
    </row>
    <row r="481" spans="1:25" ht="15.75" customHeight="1">
      <c r="A481" s="697"/>
      <c r="B481" s="527"/>
      <c r="C481" s="528" t="s">
        <v>294</v>
      </c>
      <c r="D481" s="564"/>
      <c r="E481" s="530"/>
      <c r="F481" s="530"/>
      <c r="G481" s="530"/>
      <c r="H481" s="530"/>
      <c r="I481" s="513"/>
      <c r="J481" s="514"/>
      <c r="K481" s="514"/>
      <c r="L481" s="514"/>
      <c r="M481" s="514"/>
      <c r="N481" s="514"/>
      <c r="O481" s="514"/>
      <c r="P481" s="514"/>
      <c r="Q481" s="514"/>
      <c r="R481" s="515"/>
      <c r="S481" s="515"/>
      <c r="T481" s="515"/>
      <c r="U481" s="515"/>
      <c r="V481" s="515"/>
      <c r="W481" s="515"/>
      <c r="X481" s="515"/>
      <c r="Y481" s="515"/>
    </row>
    <row r="482" spans="1:25" ht="15.75" customHeight="1">
      <c r="A482" s="697"/>
      <c r="B482" s="527"/>
      <c r="C482" s="537" t="s">
        <v>38</v>
      </c>
      <c r="D482" s="564"/>
      <c r="E482" s="530"/>
      <c r="F482" s="530"/>
      <c r="G482" s="530"/>
      <c r="H482" s="530"/>
      <c r="I482" s="513"/>
      <c r="J482" s="514"/>
      <c r="K482" s="514"/>
      <c r="L482" s="514"/>
      <c r="M482" s="514"/>
      <c r="N482" s="514"/>
      <c r="O482" s="514"/>
      <c r="P482" s="514"/>
      <c r="Q482" s="514"/>
      <c r="R482" s="515"/>
      <c r="S482" s="515"/>
      <c r="T482" s="515"/>
      <c r="U482" s="515"/>
      <c r="V482" s="515"/>
      <c r="W482" s="515"/>
      <c r="X482" s="515"/>
      <c r="Y482" s="515"/>
    </row>
    <row r="483" spans="1:25" ht="26.75" customHeight="1">
      <c r="A483" s="697"/>
      <c r="B483" s="527"/>
      <c r="C483" s="527" t="s">
        <v>284</v>
      </c>
      <c r="D483" s="564"/>
      <c r="E483" s="530"/>
      <c r="F483" s="530"/>
      <c r="G483" s="530"/>
      <c r="H483" s="530"/>
      <c r="I483" s="513"/>
      <c r="J483" s="514"/>
      <c r="K483" s="514"/>
      <c r="L483" s="514"/>
      <c r="M483" s="514"/>
      <c r="N483" s="514"/>
      <c r="O483" s="514"/>
      <c r="P483" s="514"/>
      <c r="Q483" s="514"/>
      <c r="R483" s="515"/>
      <c r="S483" s="515"/>
      <c r="T483" s="515"/>
      <c r="U483" s="515"/>
      <c r="V483" s="515"/>
      <c r="W483" s="515"/>
      <c r="X483" s="515"/>
      <c r="Y483" s="515"/>
    </row>
    <row r="484" spans="1:25" ht="15.75" customHeight="1">
      <c r="A484" s="697"/>
      <c r="B484" s="527"/>
      <c r="C484" s="537" t="s">
        <v>40</v>
      </c>
      <c r="D484" s="564"/>
      <c r="E484" s="530"/>
      <c r="F484" s="530"/>
      <c r="G484" s="530"/>
      <c r="H484" s="530"/>
      <c r="I484" s="513"/>
      <c r="J484" s="514"/>
      <c r="K484" s="514"/>
      <c r="L484" s="514"/>
      <c r="M484" s="514"/>
      <c r="N484" s="514"/>
      <c r="O484" s="514"/>
      <c r="P484" s="514"/>
      <c r="Q484" s="514"/>
      <c r="R484" s="515"/>
      <c r="S484" s="515"/>
      <c r="T484" s="515"/>
      <c r="U484" s="515"/>
      <c r="V484" s="515"/>
      <c r="W484" s="515"/>
      <c r="X484" s="515"/>
      <c r="Y484" s="515"/>
    </row>
    <row r="485" spans="1:25" ht="26.75" customHeight="1">
      <c r="A485" s="697"/>
      <c r="B485" s="533"/>
      <c r="C485" s="533" t="s">
        <v>285</v>
      </c>
      <c r="D485" s="568"/>
      <c r="E485" s="535"/>
      <c r="F485" s="535"/>
      <c r="G485" s="535"/>
      <c r="H485" s="535"/>
      <c r="I485" s="513"/>
      <c r="J485" s="514"/>
      <c r="K485" s="514"/>
      <c r="L485" s="514"/>
      <c r="M485" s="514"/>
      <c r="N485" s="514"/>
      <c r="O485" s="514"/>
      <c r="P485" s="514"/>
      <c r="Q485" s="514"/>
      <c r="R485" s="515"/>
      <c r="S485" s="515"/>
      <c r="T485" s="515"/>
      <c r="U485" s="515"/>
      <c r="V485" s="515"/>
      <c r="W485" s="515"/>
      <c r="X485" s="515"/>
      <c r="Y485" s="515"/>
    </row>
    <row r="486" spans="1:25" ht="15.75" customHeight="1">
      <c r="A486" s="697"/>
      <c r="B486" s="527" t="s">
        <v>296</v>
      </c>
      <c r="C486" s="528" t="s">
        <v>294</v>
      </c>
      <c r="D486" s="564"/>
      <c r="E486" s="530" t="s">
        <v>275</v>
      </c>
      <c r="F486" s="530" t="s">
        <v>270</v>
      </c>
      <c r="G486" s="530" t="s">
        <v>293</v>
      </c>
      <c r="H486" s="530"/>
      <c r="I486" s="513"/>
      <c r="J486" s="514"/>
      <c r="K486" s="514"/>
      <c r="L486" s="514"/>
      <c r="M486" s="514"/>
      <c r="N486" s="514"/>
      <c r="O486" s="514"/>
      <c r="P486" s="514"/>
      <c r="Q486" s="514"/>
      <c r="R486" s="515"/>
      <c r="S486" s="515"/>
      <c r="T486" s="515"/>
      <c r="U486" s="515"/>
      <c r="V486" s="515"/>
      <c r="W486" s="515"/>
      <c r="X486" s="515"/>
      <c r="Y486" s="515"/>
    </row>
    <row r="487" spans="1:25" ht="15.75" customHeight="1">
      <c r="A487" s="526"/>
      <c r="B487" s="527"/>
      <c r="C487" s="528" t="s">
        <v>38</v>
      </c>
      <c r="D487" s="564"/>
      <c r="E487" s="530"/>
      <c r="F487" s="530"/>
      <c r="G487" s="530"/>
      <c r="H487" s="530"/>
      <c r="I487" s="513"/>
      <c r="J487" s="514"/>
      <c r="K487" s="514"/>
      <c r="L487" s="514"/>
      <c r="M487" s="514"/>
      <c r="N487" s="514"/>
      <c r="O487" s="514"/>
      <c r="P487" s="514"/>
      <c r="Q487" s="514"/>
      <c r="R487" s="515"/>
      <c r="S487" s="515"/>
      <c r="T487" s="515"/>
      <c r="U487" s="515"/>
      <c r="V487" s="515"/>
      <c r="W487" s="515"/>
      <c r="X487" s="515"/>
      <c r="Y487" s="515"/>
    </row>
    <row r="488" spans="1:25" ht="26.75" customHeight="1">
      <c r="A488" s="526"/>
      <c r="B488" s="527"/>
      <c r="C488" s="527" t="s">
        <v>284</v>
      </c>
      <c r="D488" s="564"/>
      <c r="E488" s="530"/>
      <c r="F488" s="530"/>
      <c r="G488" s="530"/>
      <c r="H488" s="530"/>
      <c r="I488" s="513"/>
      <c r="J488" s="514"/>
      <c r="K488" s="514"/>
      <c r="L488" s="514"/>
      <c r="M488" s="514"/>
      <c r="N488" s="514"/>
      <c r="O488" s="514"/>
      <c r="P488" s="514"/>
      <c r="Q488" s="514"/>
      <c r="R488" s="515"/>
      <c r="S488" s="515"/>
      <c r="T488" s="515"/>
      <c r="U488" s="515"/>
      <c r="V488" s="515"/>
      <c r="W488" s="515"/>
      <c r="X488" s="515"/>
      <c r="Y488" s="515"/>
    </row>
    <row r="489" spans="1:25" ht="15.75" customHeight="1">
      <c r="A489" s="526"/>
      <c r="B489" s="527"/>
      <c r="C489" s="537" t="s">
        <v>40</v>
      </c>
      <c r="D489" s="564"/>
      <c r="E489" s="530"/>
      <c r="F489" s="530"/>
      <c r="G489" s="530"/>
      <c r="H489" s="530"/>
      <c r="I489" s="513"/>
      <c r="J489" s="514"/>
      <c r="K489" s="514"/>
      <c r="L489" s="514"/>
      <c r="M489" s="514"/>
      <c r="N489" s="514"/>
      <c r="O489" s="514"/>
      <c r="P489" s="514"/>
      <c r="Q489" s="514"/>
      <c r="R489" s="515"/>
      <c r="S489" s="515"/>
      <c r="T489" s="515"/>
      <c r="U489" s="515"/>
      <c r="V489" s="515"/>
      <c r="W489" s="515"/>
      <c r="X489" s="515"/>
      <c r="Y489" s="515"/>
    </row>
    <row r="490" spans="1:25" ht="26.75" customHeight="1">
      <c r="A490" s="526"/>
      <c r="B490" s="527"/>
      <c r="C490" s="527" t="s">
        <v>285</v>
      </c>
      <c r="D490" s="564"/>
      <c r="E490" s="530"/>
      <c r="F490" s="530"/>
      <c r="G490" s="530"/>
      <c r="H490" s="530"/>
      <c r="I490" s="513"/>
      <c r="J490" s="514"/>
      <c r="K490" s="514"/>
      <c r="L490" s="514"/>
      <c r="M490" s="514"/>
      <c r="N490" s="514"/>
      <c r="O490" s="514"/>
      <c r="P490" s="514"/>
      <c r="Q490" s="514"/>
      <c r="R490" s="515"/>
      <c r="S490" s="515"/>
      <c r="T490" s="515"/>
      <c r="U490" s="515"/>
      <c r="V490" s="515"/>
      <c r="W490" s="515"/>
      <c r="X490" s="515"/>
      <c r="Y490" s="515"/>
    </row>
    <row r="491" spans="1:25" ht="15.75" customHeight="1">
      <c r="A491" s="717" t="s">
        <v>297</v>
      </c>
      <c r="B491" s="717"/>
      <c r="C491" s="717"/>
      <c r="D491" s="717"/>
      <c r="E491" s="719"/>
      <c r="F491" s="719"/>
      <c r="G491" s="719"/>
      <c r="H491" s="719"/>
      <c r="I491" s="513"/>
      <c r="J491" s="514"/>
      <c r="K491" s="514"/>
      <c r="L491" s="514"/>
      <c r="M491" s="514"/>
      <c r="N491" s="514"/>
      <c r="O491" s="514"/>
      <c r="P491" s="514"/>
      <c r="Q491" s="514"/>
      <c r="R491" s="515"/>
      <c r="S491" s="515"/>
      <c r="T491" s="515"/>
      <c r="U491" s="515"/>
      <c r="V491" s="515"/>
      <c r="W491" s="515"/>
      <c r="X491" s="515"/>
      <c r="Y491" s="515"/>
    </row>
    <row r="492" spans="1:25" ht="15.75" customHeight="1">
      <c r="A492" s="697" t="s">
        <v>155</v>
      </c>
      <c r="B492" s="698" t="s">
        <v>161</v>
      </c>
      <c r="C492" s="537" t="s">
        <v>1570</v>
      </c>
      <c r="D492" s="564"/>
      <c r="E492" s="530"/>
      <c r="F492" s="530"/>
      <c r="G492" s="530" t="s">
        <v>298</v>
      </c>
      <c r="H492" s="530"/>
      <c r="I492" s="513"/>
      <c r="J492" s="514"/>
      <c r="K492" s="514"/>
      <c r="L492" s="514"/>
      <c r="M492" s="514"/>
      <c r="N492" s="514"/>
      <c r="O492" s="514"/>
      <c r="P492" s="514"/>
      <c r="Q492" s="514"/>
      <c r="R492" s="515"/>
      <c r="S492" s="515"/>
      <c r="T492" s="515"/>
      <c r="U492" s="515"/>
      <c r="V492" s="515"/>
      <c r="W492" s="515"/>
      <c r="X492" s="515"/>
      <c r="Y492" s="515"/>
    </row>
    <row r="493" spans="1:25" ht="15.75" customHeight="1">
      <c r="A493" s="697"/>
      <c r="B493" s="698"/>
      <c r="C493" s="527" t="s">
        <v>299</v>
      </c>
      <c r="D493" s="564"/>
      <c r="E493" s="530"/>
      <c r="F493" s="530"/>
      <c r="G493" s="530"/>
      <c r="H493" s="530"/>
      <c r="I493" s="513"/>
      <c r="J493" s="514"/>
      <c r="K493" s="514"/>
      <c r="L493" s="514"/>
      <c r="M493" s="514"/>
      <c r="N493" s="514"/>
      <c r="O493" s="514"/>
      <c r="P493" s="514"/>
      <c r="Q493" s="514"/>
      <c r="R493" s="515"/>
      <c r="S493" s="515"/>
      <c r="T493" s="515"/>
      <c r="U493" s="515"/>
      <c r="V493" s="515"/>
      <c r="W493" s="515"/>
      <c r="X493" s="515"/>
      <c r="Y493" s="515"/>
    </row>
    <row r="494" spans="1:25" ht="15.75" customHeight="1">
      <c r="A494" s="697"/>
      <c r="B494" s="698"/>
      <c r="C494" s="537" t="s">
        <v>40</v>
      </c>
      <c r="D494" s="564"/>
      <c r="E494" s="530"/>
      <c r="F494" s="530"/>
      <c r="G494" s="530"/>
      <c r="H494" s="530"/>
      <c r="I494" s="513"/>
      <c r="J494" s="514"/>
      <c r="K494" s="514"/>
      <c r="L494" s="514"/>
      <c r="M494" s="514"/>
      <c r="N494" s="514"/>
      <c r="O494" s="514"/>
      <c r="P494" s="514"/>
      <c r="Q494" s="514"/>
      <c r="R494" s="515"/>
      <c r="S494" s="515"/>
      <c r="T494" s="515"/>
      <c r="U494" s="515"/>
      <c r="V494" s="515"/>
      <c r="W494" s="515"/>
      <c r="X494" s="515"/>
      <c r="Y494" s="515"/>
    </row>
    <row r="495" spans="1:25" ht="15.75" customHeight="1">
      <c r="A495" s="697"/>
      <c r="B495" s="698"/>
      <c r="C495" s="527" t="s">
        <v>300</v>
      </c>
      <c r="D495" s="564"/>
      <c r="E495" s="530"/>
      <c r="F495" s="530"/>
      <c r="G495" s="530"/>
      <c r="H495" s="530"/>
      <c r="I495" s="513"/>
      <c r="J495" s="514"/>
      <c r="K495" s="514"/>
      <c r="L495" s="514"/>
      <c r="M495" s="514"/>
      <c r="N495" s="514"/>
      <c r="O495" s="514"/>
      <c r="P495" s="514"/>
      <c r="Q495" s="514"/>
      <c r="R495" s="515"/>
      <c r="S495" s="515"/>
      <c r="T495" s="515"/>
      <c r="U495" s="515"/>
      <c r="V495" s="515"/>
      <c r="W495" s="515"/>
      <c r="X495" s="515"/>
      <c r="Y495" s="515"/>
    </row>
    <row r="496" spans="1:25" ht="15.75" customHeight="1">
      <c r="A496" s="697"/>
      <c r="B496" s="698"/>
      <c r="C496" s="553" t="s">
        <v>47</v>
      </c>
      <c r="D496" s="564"/>
      <c r="E496" s="530"/>
      <c r="F496" s="530"/>
      <c r="G496" s="530"/>
      <c r="H496" s="530"/>
      <c r="I496" s="513"/>
      <c r="J496" s="514"/>
      <c r="K496" s="514"/>
      <c r="L496" s="514"/>
      <c r="M496" s="514"/>
      <c r="N496" s="514"/>
      <c r="O496" s="514"/>
      <c r="P496" s="514"/>
      <c r="Q496" s="514"/>
      <c r="R496" s="515"/>
      <c r="S496" s="515"/>
      <c r="T496" s="515"/>
      <c r="U496" s="515"/>
      <c r="V496" s="515"/>
      <c r="W496" s="515"/>
      <c r="X496" s="515"/>
      <c r="Y496" s="515"/>
    </row>
    <row r="497" spans="1:25" ht="15.75" customHeight="1">
      <c r="A497" s="718"/>
      <c r="B497" s="699"/>
      <c r="C497" s="494" t="s">
        <v>301</v>
      </c>
      <c r="D497" s="568"/>
      <c r="E497" s="535"/>
      <c r="F497" s="535"/>
      <c r="G497" s="535"/>
      <c r="H497" s="535"/>
      <c r="I497" s="513"/>
      <c r="J497" s="514"/>
      <c r="K497" s="514"/>
      <c r="L497" s="514"/>
      <c r="M497" s="514"/>
      <c r="N497" s="514"/>
      <c r="O497" s="514"/>
      <c r="P497" s="514"/>
      <c r="Q497" s="514"/>
      <c r="R497" s="515"/>
      <c r="S497" s="515"/>
      <c r="T497" s="515"/>
      <c r="U497" s="515"/>
      <c r="V497" s="515"/>
      <c r="W497" s="515"/>
      <c r="X497" s="515"/>
      <c r="Y497" s="515"/>
    </row>
    <row r="498" spans="1:25" ht="39.25" customHeight="1">
      <c r="A498" s="697" t="s">
        <v>302</v>
      </c>
      <c r="B498" s="577" t="s">
        <v>303</v>
      </c>
      <c r="C498" s="554" t="s">
        <v>304</v>
      </c>
      <c r="D498" s="578"/>
      <c r="E498" s="579">
        <v>8</v>
      </c>
      <c r="F498" s="580" t="s">
        <v>305</v>
      </c>
      <c r="G498" s="580" t="s">
        <v>306</v>
      </c>
      <c r="H498" s="580"/>
      <c r="I498" s="513"/>
      <c r="J498" s="514"/>
      <c r="K498" s="514"/>
      <c r="L498" s="514"/>
      <c r="M498" s="514"/>
      <c r="N498" s="514"/>
      <c r="O498" s="514"/>
      <c r="P498" s="514"/>
      <c r="Q498" s="514"/>
      <c r="R498" s="515"/>
      <c r="S498" s="515"/>
      <c r="T498" s="515"/>
      <c r="U498" s="515"/>
      <c r="V498" s="515"/>
      <c r="W498" s="515"/>
      <c r="X498" s="515"/>
      <c r="Y498" s="515"/>
    </row>
    <row r="499" spans="1:25" ht="15.75" customHeight="1">
      <c r="A499" s="697"/>
      <c r="B499" s="700" t="s">
        <v>307</v>
      </c>
      <c r="C499" s="537" t="s">
        <v>1570</v>
      </c>
      <c r="D499" s="570"/>
      <c r="E499" s="540">
        <v>8</v>
      </c>
      <c r="F499" s="539" t="s">
        <v>308</v>
      </c>
      <c r="G499" s="539"/>
      <c r="H499" s="539"/>
      <c r="I499" s="513"/>
      <c r="J499" s="514"/>
      <c r="K499" s="514"/>
      <c r="L499" s="514"/>
      <c r="M499" s="514"/>
      <c r="N499" s="514"/>
      <c r="O499" s="514"/>
      <c r="P499" s="514"/>
      <c r="Q499" s="514"/>
      <c r="R499" s="515"/>
      <c r="S499" s="515"/>
      <c r="T499" s="515"/>
      <c r="U499" s="515"/>
      <c r="V499" s="515"/>
      <c r="W499" s="515"/>
      <c r="X499" s="515"/>
      <c r="Y499" s="515"/>
    </row>
    <row r="500" spans="1:25" ht="15.75" customHeight="1">
      <c r="A500" s="697"/>
      <c r="B500" s="698"/>
      <c r="C500" s="527" t="s">
        <v>299</v>
      </c>
      <c r="D500" s="564"/>
      <c r="E500" s="530"/>
      <c r="F500" s="530"/>
      <c r="G500" s="530"/>
      <c r="H500" s="530"/>
      <c r="I500" s="513"/>
      <c r="J500" s="514"/>
      <c r="K500" s="514"/>
      <c r="L500" s="514"/>
      <c r="M500" s="514"/>
      <c r="N500" s="514"/>
      <c r="O500" s="514"/>
      <c r="P500" s="514"/>
      <c r="Q500" s="514"/>
      <c r="R500" s="515"/>
      <c r="S500" s="515"/>
      <c r="T500" s="515"/>
      <c r="U500" s="515"/>
      <c r="V500" s="515"/>
      <c r="W500" s="515"/>
      <c r="X500" s="515"/>
      <c r="Y500" s="515"/>
    </row>
    <row r="501" spans="1:25" ht="15.75" customHeight="1">
      <c r="A501" s="697"/>
      <c r="B501" s="698"/>
      <c r="C501" s="537" t="s">
        <v>40</v>
      </c>
      <c r="D501" s="564"/>
      <c r="E501" s="530"/>
      <c r="F501" s="530"/>
      <c r="G501" s="530"/>
      <c r="H501" s="530"/>
      <c r="I501" s="513"/>
      <c r="J501" s="514"/>
      <c r="K501" s="514"/>
      <c r="L501" s="514"/>
      <c r="M501" s="514"/>
      <c r="N501" s="514"/>
      <c r="O501" s="514"/>
      <c r="P501" s="514"/>
      <c r="Q501" s="514"/>
      <c r="R501" s="515"/>
      <c r="S501" s="515"/>
      <c r="T501" s="515"/>
      <c r="U501" s="515"/>
      <c r="V501" s="515"/>
      <c r="W501" s="515"/>
      <c r="X501" s="515"/>
      <c r="Y501" s="515"/>
    </row>
    <row r="502" spans="1:25" ht="15.75" customHeight="1">
      <c r="A502" s="697"/>
      <c r="B502" s="698"/>
      <c r="C502" s="527" t="s">
        <v>300</v>
      </c>
      <c r="D502" s="564"/>
      <c r="E502" s="530"/>
      <c r="F502" s="530"/>
      <c r="G502" s="530"/>
      <c r="H502" s="530"/>
      <c r="I502" s="513"/>
      <c r="J502" s="514"/>
      <c r="K502" s="514"/>
      <c r="L502" s="514"/>
      <c r="M502" s="514"/>
      <c r="N502" s="514"/>
      <c r="O502" s="514"/>
      <c r="P502" s="514"/>
      <c r="Q502" s="514"/>
      <c r="R502" s="515"/>
      <c r="S502" s="515"/>
      <c r="T502" s="515"/>
      <c r="U502" s="515"/>
      <c r="V502" s="515"/>
      <c r="W502" s="515"/>
      <c r="X502" s="515"/>
      <c r="Y502" s="515"/>
    </row>
    <row r="503" spans="1:25" ht="15.75" customHeight="1">
      <c r="A503" s="697"/>
      <c r="B503" s="698"/>
      <c r="C503" s="553" t="s">
        <v>47</v>
      </c>
      <c r="D503" s="564"/>
      <c r="E503" s="530"/>
      <c r="F503" s="530"/>
      <c r="G503" s="530"/>
      <c r="H503" s="530"/>
      <c r="I503" s="513"/>
      <c r="J503" s="514"/>
      <c r="K503" s="514"/>
      <c r="L503" s="514"/>
      <c r="M503" s="514"/>
      <c r="N503" s="514"/>
      <c r="O503" s="514"/>
      <c r="P503" s="514"/>
      <c r="Q503" s="514"/>
      <c r="R503" s="515"/>
      <c r="S503" s="515"/>
      <c r="T503" s="515"/>
      <c r="U503" s="515"/>
      <c r="V503" s="515"/>
      <c r="W503" s="515"/>
      <c r="X503" s="515"/>
      <c r="Y503" s="515"/>
    </row>
    <row r="504" spans="1:25" ht="15.75" customHeight="1">
      <c r="A504" s="697"/>
      <c r="B504" s="698"/>
      <c r="C504" s="495" t="s">
        <v>301</v>
      </c>
      <c r="D504" s="564"/>
      <c r="E504" s="530"/>
      <c r="F504" s="530"/>
      <c r="G504" s="530"/>
      <c r="H504" s="530"/>
      <c r="I504" s="513"/>
      <c r="J504" s="514"/>
      <c r="K504" s="514"/>
      <c r="L504" s="514"/>
      <c r="M504" s="514"/>
      <c r="N504" s="514"/>
      <c r="O504" s="514"/>
      <c r="P504" s="514"/>
      <c r="Q504" s="514"/>
      <c r="R504" s="515"/>
      <c r="S504" s="515"/>
      <c r="T504" s="515"/>
      <c r="U504" s="515"/>
      <c r="V504" s="515"/>
      <c r="W504" s="515"/>
      <c r="X504" s="515"/>
      <c r="Y504" s="515"/>
    </row>
    <row r="505" spans="1:25" ht="15.75" customHeight="1">
      <c r="A505" s="697"/>
      <c r="B505" s="698"/>
      <c r="C505" s="495" t="s">
        <v>73</v>
      </c>
      <c r="D505" s="564"/>
      <c r="E505" s="530"/>
      <c r="F505" s="530"/>
      <c r="G505" s="530"/>
      <c r="H505" s="530"/>
      <c r="I505" s="513"/>
      <c r="J505" s="514"/>
      <c r="K505" s="514"/>
      <c r="L505" s="514"/>
      <c r="M505" s="514"/>
      <c r="N505" s="514"/>
      <c r="O505" s="514"/>
      <c r="P505" s="514"/>
      <c r="Q505" s="514"/>
      <c r="R505" s="515"/>
      <c r="S505" s="515"/>
      <c r="T505" s="515"/>
      <c r="U505" s="515"/>
      <c r="V505" s="515"/>
      <c r="W505" s="515"/>
      <c r="X505" s="515"/>
      <c r="Y505" s="515"/>
    </row>
    <row r="506" spans="1:25" ht="15.75" customHeight="1">
      <c r="A506" s="697"/>
      <c r="B506" s="699"/>
      <c r="C506" s="533" t="s">
        <v>309</v>
      </c>
      <c r="D506" s="568"/>
      <c r="E506" s="535"/>
      <c r="F506" s="535"/>
      <c r="G506" s="535"/>
      <c r="H506" s="535"/>
      <c r="I506" s="513"/>
      <c r="J506" s="514"/>
      <c r="K506" s="514"/>
      <c r="L506" s="514"/>
      <c r="M506" s="514"/>
      <c r="N506" s="514"/>
      <c r="O506" s="514"/>
      <c r="P506" s="514"/>
      <c r="Q506" s="514"/>
      <c r="R506" s="515"/>
      <c r="S506" s="515"/>
      <c r="T506" s="515"/>
      <c r="U506" s="515"/>
      <c r="V506" s="515"/>
      <c r="W506" s="515"/>
      <c r="X506" s="515"/>
      <c r="Y506" s="515"/>
    </row>
    <row r="507" spans="1:25" ht="15.75" customHeight="1">
      <c r="A507" s="697"/>
      <c r="B507" s="527" t="s">
        <v>310</v>
      </c>
      <c r="C507" s="517"/>
      <c r="D507" s="564"/>
      <c r="E507" s="541">
        <v>8</v>
      </c>
      <c r="F507" s="530" t="s">
        <v>308</v>
      </c>
      <c r="G507" s="530" t="s">
        <v>306</v>
      </c>
      <c r="H507" s="530"/>
      <c r="I507" s="513"/>
      <c r="J507" s="514"/>
      <c r="K507" s="514"/>
      <c r="L507" s="514"/>
      <c r="M507" s="514"/>
      <c r="N507" s="514"/>
      <c r="O507" s="514"/>
      <c r="P507" s="514"/>
      <c r="Q507" s="514"/>
      <c r="R507" s="515"/>
      <c r="S507" s="515"/>
      <c r="T507" s="515"/>
      <c r="U507" s="515"/>
      <c r="V507" s="515"/>
      <c r="W507" s="515"/>
      <c r="X507" s="515"/>
      <c r="Y507" s="515"/>
    </row>
    <row r="508" spans="1:25" ht="39.25" customHeight="1">
      <c r="A508" s="697"/>
      <c r="B508" s="527" t="s">
        <v>311</v>
      </c>
      <c r="C508" s="517"/>
      <c r="D508" s="564"/>
      <c r="E508" s="541">
        <v>8</v>
      </c>
      <c r="F508" s="530" t="s">
        <v>308</v>
      </c>
      <c r="G508" s="530"/>
      <c r="H508" s="530"/>
      <c r="I508" s="513"/>
      <c r="J508" s="514"/>
      <c r="K508" s="514"/>
      <c r="L508" s="514"/>
      <c r="M508" s="514"/>
      <c r="N508" s="514"/>
      <c r="O508" s="514"/>
      <c r="P508" s="514"/>
      <c r="Q508" s="514"/>
      <c r="R508" s="515"/>
      <c r="S508" s="515"/>
      <c r="T508" s="515"/>
      <c r="U508" s="515"/>
      <c r="V508" s="515"/>
      <c r="W508" s="515"/>
      <c r="X508" s="515"/>
      <c r="Y508" s="515"/>
    </row>
    <row r="509" spans="1:25" ht="39.25" customHeight="1">
      <c r="A509" s="526" t="s">
        <v>312</v>
      </c>
      <c r="B509" s="527" t="s">
        <v>313</v>
      </c>
      <c r="C509" s="528" t="s">
        <v>304</v>
      </c>
      <c r="D509" s="564"/>
      <c r="E509" s="541">
        <v>8</v>
      </c>
      <c r="F509" s="530" t="s">
        <v>308</v>
      </c>
      <c r="G509" s="530"/>
      <c r="H509" s="530"/>
      <c r="I509" s="513"/>
      <c r="J509" s="514"/>
      <c r="K509" s="514"/>
      <c r="L509" s="514"/>
      <c r="M509" s="514"/>
      <c r="N509" s="514"/>
      <c r="O509" s="514"/>
      <c r="P509" s="514"/>
      <c r="Q509" s="514"/>
      <c r="R509" s="515"/>
      <c r="S509" s="515"/>
      <c r="T509" s="515"/>
      <c r="U509" s="515"/>
      <c r="V509" s="515"/>
      <c r="W509" s="515"/>
      <c r="X509" s="515"/>
      <c r="Y509" s="515"/>
    </row>
    <row r="510" spans="1:25" ht="50" customHeight="1">
      <c r="A510" s="526" t="s">
        <v>314</v>
      </c>
      <c r="B510" s="527" t="s">
        <v>315</v>
      </c>
      <c r="C510" s="517"/>
      <c r="D510" s="564"/>
      <c r="E510" s="541">
        <v>8</v>
      </c>
      <c r="F510" s="530" t="s">
        <v>305</v>
      </c>
      <c r="G510" s="530"/>
      <c r="H510" s="530"/>
      <c r="I510" s="513"/>
      <c r="J510" s="514"/>
      <c r="K510" s="514"/>
      <c r="L510" s="514"/>
      <c r="M510" s="514"/>
      <c r="N510" s="514"/>
      <c r="O510" s="514"/>
      <c r="P510" s="514"/>
      <c r="Q510" s="514"/>
      <c r="R510" s="515"/>
      <c r="S510" s="515"/>
      <c r="T510" s="515"/>
      <c r="U510" s="515"/>
      <c r="V510" s="515"/>
      <c r="W510" s="515"/>
      <c r="X510" s="515"/>
      <c r="Y510" s="515"/>
    </row>
    <row r="511" spans="1:25" ht="15.75" customHeight="1">
      <c r="A511" s="717" t="s">
        <v>316</v>
      </c>
      <c r="B511" s="717"/>
      <c r="C511" s="717"/>
      <c r="D511" s="717"/>
      <c r="E511" s="566"/>
      <c r="F511" s="566"/>
      <c r="G511" s="566"/>
      <c r="H511" s="566"/>
      <c r="I511" s="513"/>
      <c r="J511" s="514"/>
      <c r="K511" s="514"/>
      <c r="L511" s="514"/>
      <c r="M511" s="514"/>
      <c r="N511" s="514"/>
      <c r="O511" s="514"/>
      <c r="P511" s="514"/>
      <c r="Q511" s="514"/>
      <c r="R511" s="515"/>
      <c r="S511" s="515"/>
      <c r="T511" s="515"/>
      <c r="U511" s="515"/>
      <c r="V511" s="515"/>
      <c r="W511" s="515"/>
      <c r="X511" s="515"/>
      <c r="Y511" s="515"/>
    </row>
    <row r="512" spans="1:25" ht="15.75" customHeight="1">
      <c r="A512" s="697" t="s">
        <v>155</v>
      </c>
      <c r="B512" s="527" t="s">
        <v>161</v>
      </c>
      <c r="C512" s="537" t="s">
        <v>1570</v>
      </c>
      <c r="D512" s="564"/>
      <c r="E512" s="530" t="s">
        <v>317</v>
      </c>
      <c r="F512" s="530"/>
      <c r="G512" s="530" t="s">
        <v>318</v>
      </c>
      <c r="H512" s="530"/>
      <c r="I512" s="513"/>
      <c r="J512" s="514"/>
      <c r="K512" s="514"/>
      <c r="L512" s="514"/>
      <c r="M512" s="514"/>
      <c r="N512" s="514"/>
      <c r="O512" s="514"/>
      <c r="P512" s="514"/>
      <c r="Q512" s="514"/>
      <c r="R512" s="515"/>
      <c r="S512" s="515"/>
      <c r="T512" s="515"/>
      <c r="U512" s="515"/>
      <c r="V512" s="515"/>
      <c r="W512" s="515"/>
      <c r="X512" s="515"/>
      <c r="Y512" s="515"/>
    </row>
    <row r="513" spans="1:25" ht="26.75" customHeight="1">
      <c r="A513" s="697"/>
      <c r="B513" s="527"/>
      <c r="C513" s="527" t="s">
        <v>319</v>
      </c>
      <c r="D513" s="564"/>
      <c r="E513" s="530"/>
      <c r="F513" s="530"/>
      <c r="G513" s="530"/>
      <c r="H513" s="530"/>
      <c r="I513" s="513"/>
      <c r="J513" s="514"/>
      <c r="K513" s="514"/>
      <c r="L513" s="514"/>
      <c r="M513" s="514"/>
      <c r="N513" s="514"/>
      <c r="O513" s="514"/>
      <c r="P513" s="514"/>
      <c r="Q513" s="514"/>
      <c r="R513" s="515"/>
      <c r="S513" s="515"/>
      <c r="T513" s="515"/>
      <c r="U513" s="515"/>
      <c r="V513" s="515"/>
      <c r="W513" s="515"/>
      <c r="X513" s="515"/>
      <c r="Y513" s="515"/>
    </row>
    <row r="514" spans="1:25" ht="15.75" customHeight="1">
      <c r="A514" s="697"/>
      <c r="B514" s="527"/>
      <c r="C514" s="537" t="s">
        <v>40</v>
      </c>
      <c r="D514" s="564"/>
      <c r="E514" s="530"/>
      <c r="F514" s="530"/>
      <c r="G514" s="530"/>
      <c r="H514" s="530"/>
      <c r="I514" s="513"/>
      <c r="J514" s="514"/>
      <c r="K514" s="514"/>
      <c r="L514" s="514"/>
      <c r="M514" s="514"/>
      <c r="N514" s="514"/>
      <c r="O514" s="514"/>
      <c r="P514" s="514"/>
      <c r="Q514" s="514"/>
      <c r="R514" s="515"/>
      <c r="S514" s="515"/>
      <c r="T514" s="515"/>
      <c r="U514" s="515"/>
      <c r="V514" s="515"/>
      <c r="W514" s="515"/>
      <c r="X514" s="515"/>
      <c r="Y514" s="515"/>
    </row>
    <row r="515" spans="1:25" ht="15.75" customHeight="1">
      <c r="A515" s="697"/>
      <c r="B515" s="527"/>
      <c r="C515" s="553" t="s">
        <v>47</v>
      </c>
      <c r="D515" s="564"/>
      <c r="E515" s="530"/>
      <c r="F515" s="530"/>
      <c r="G515" s="530"/>
      <c r="H515" s="530"/>
      <c r="I515" s="513"/>
      <c r="J515" s="514"/>
      <c r="K515" s="514"/>
      <c r="L515" s="514"/>
      <c r="M515" s="514"/>
      <c r="N515" s="514"/>
      <c r="O515" s="514"/>
      <c r="P515" s="514"/>
      <c r="Q515" s="514"/>
      <c r="R515" s="515"/>
      <c r="S515" s="515"/>
      <c r="T515" s="515"/>
      <c r="U515" s="515"/>
      <c r="V515" s="515"/>
      <c r="W515" s="515"/>
      <c r="X515" s="515"/>
      <c r="Y515" s="515"/>
    </row>
    <row r="516" spans="1:25" ht="15.75" customHeight="1">
      <c r="A516" s="697"/>
      <c r="B516" s="527"/>
      <c r="C516" s="495" t="s">
        <v>73</v>
      </c>
      <c r="D516" s="564"/>
      <c r="E516" s="530"/>
      <c r="F516" s="530"/>
      <c r="G516" s="530"/>
      <c r="H516" s="530"/>
      <c r="I516" s="513"/>
      <c r="J516" s="514"/>
      <c r="K516" s="514"/>
      <c r="L516" s="514"/>
      <c r="M516" s="514"/>
      <c r="N516" s="514"/>
      <c r="O516" s="514"/>
      <c r="P516" s="514"/>
      <c r="Q516" s="514"/>
      <c r="R516" s="515"/>
      <c r="S516" s="515"/>
      <c r="T516" s="515"/>
      <c r="U516" s="515"/>
      <c r="V516" s="515"/>
      <c r="W516" s="515"/>
      <c r="X516" s="515"/>
      <c r="Y516" s="515"/>
    </row>
    <row r="517" spans="1:25" ht="15.75" customHeight="1">
      <c r="A517" s="718"/>
      <c r="B517" s="533"/>
      <c r="C517" s="533" t="s">
        <v>267</v>
      </c>
      <c r="D517" s="568"/>
      <c r="E517" s="535"/>
      <c r="F517" s="535"/>
      <c r="G517" s="535"/>
      <c r="H517" s="535"/>
      <c r="I517" s="513"/>
      <c r="J517" s="514"/>
      <c r="K517" s="514"/>
      <c r="L517" s="514"/>
      <c r="M517" s="514"/>
      <c r="N517" s="514"/>
      <c r="O517" s="514"/>
      <c r="P517" s="514"/>
      <c r="Q517" s="514"/>
      <c r="R517" s="515"/>
      <c r="S517" s="515"/>
      <c r="T517" s="515"/>
      <c r="U517" s="515"/>
      <c r="V517" s="515"/>
      <c r="W517" s="515"/>
      <c r="X517" s="515"/>
      <c r="Y517" s="515"/>
    </row>
    <row r="518" spans="1:25" ht="26">
      <c r="A518" s="697" t="s">
        <v>320</v>
      </c>
      <c r="B518" s="527" t="s">
        <v>321</v>
      </c>
      <c r="C518" s="537" t="s">
        <v>1570</v>
      </c>
      <c r="D518" s="564"/>
      <c r="E518" s="530" t="s">
        <v>264</v>
      </c>
      <c r="F518" s="530" t="s">
        <v>162</v>
      </c>
      <c r="G518" s="530" t="s">
        <v>322</v>
      </c>
      <c r="H518" s="530"/>
      <c r="I518" s="513"/>
      <c r="J518" s="514"/>
      <c r="K518" s="514"/>
      <c r="L518" s="514"/>
      <c r="M518" s="514"/>
      <c r="N518" s="514"/>
      <c r="O518" s="514"/>
      <c r="P518" s="514"/>
      <c r="Q518" s="514"/>
      <c r="R518" s="515"/>
      <c r="S518" s="515"/>
      <c r="T518" s="515"/>
      <c r="U518" s="515"/>
      <c r="V518" s="515"/>
      <c r="W518" s="515"/>
      <c r="X518" s="515"/>
      <c r="Y518" s="515"/>
    </row>
    <row r="519" spans="1:25" ht="15.75" customHeight="1">
      <c r="A519" s="697"/>
      <c r="B519" s="527" t="s">
        <v>323</v>
      </c>
      <c r="C519" s="517" t="s">
        <v>272</v>
      </c>
      <c r="D519" s="564"/>
      <c r="E519" s="530" t="s">
        <v>264</v>
      </c>
      <c r="F519" s="530" t="s">
        <v>162</v>
      </c>
      <c r="G519" s="530"/>
      <c r="H519" s="530"/>
      <c r="I519" s="513"/>
      <c r="J519" s="514"/>
      <c r="K519" s="514"/>
      <c r="L519" s="514"/>
      <c r="M519" s="514"/>
      <c r="N519" s="514"/>
      <c r="O519" s="514"/>
      <c r="P519" s="514"/>
      <c r="Q519" s="514"/>
      <c r="R519" s="515"/>
      <c r="S519" s="515"/>
      <c r="T519" s="515"/>
      <c r="U519" s="515"/>
      <c r="V519" s="515"/>
      <c r="W519" s="515"/>
      <c r="X519" s="515"/>
      <c r="Y519" s="515"/>
    </row>
    <row r="520" spans="1:25" ht="15.75" customHeight="1">
      <c r="A520" s="697"/>
      <c r="B520" s="527" t="s">
        <v>324</v>
      </c>
      <c r="C520" s="581" t="s">
        <v>47</v>
      </c>
      <c r="D520" s="564"/>
      <c r="E520" s="530" t="s">
        <v>264</v>
      </c>
      <c r="F520" s="530" t="s">
        <v>162</v>
      </c>
      <c r="G520" s="530"/>
      <c r="H520" s="530"/>
      <c r="I520" s="513"/>
      <c r="J520" s="514"/>
      <c r="K520" s="514"/>
      <c r="L520" s="514"/>
      <c r="M520" s="514"/>
      <c r="N520" s="514"/>
      <c r="O520" s="514"/>
      <c r="P520" s="514"/>
      <c r="Q520" s="514"/>
      <c r="R520" s="515"/>
      <c r="S520" s="515"/>
      <c r="T520" s="515"/>
      <c r="U520" s="515"/>
      <c r="V520" s="515"/>
      <c r="W520" s="515"/>
      <c r="X520" s="515"/>
      <c r="Y520" s="515"/>
    </row>
    <row r="521" spans="1:25" ht="15.75" customHeight="1">
      <c r="A521" s="697"/>
      <c r="B521" s="527" t="s">
        <v>325</v>
      </c>
      <c r="C521" s="493" t="s">
        <v>73</v>
      </c>
      <c r="D521" s="564"/>
      <c r="E521" s="530" t="s">
        <v>264</v>
      </c>
      <c r="F521" s="530" t="s">
        <v>162</v>
      </c>
      <c r="G521" s="530"/>
      <c r="H521" s="530"/>
      <c r="I521" s="513"/>
      <c r="J521" s="514"/>
      <c r="K521" s="514"/>
      <c r="L521" s="514"/>
      <c r="M521" s="514"/>
      <c r="N521" s="514"/>
      <c r="O521" s="514"/>
      <c r="P521" s="514"/>
      <c r="Q521" s="514"/>
      <c r="R521" s="515"/>
      <c r="S521" s="515"/>
      <c r="T521" s="515"/>
      <c r="U521" s="515"/>
      <c r="V521" s="515"/>
      <c r="W521" s="515"/>
      <c r="X521" s="515"/>
      <c r="Y521" s="515"/>
    </row>
    <row r="522" spans="1:25" ht="15.75" customHeight="1">
      <c r="A522" s="697"/>
      <c r="B522" s="698" t="s">
        <v>326</v>
      </c>
      <c r="C522" s="517" t="s">
        <v>327</v>
      </c>
      <c r="D522" s="564"/>
      <c r="E522" s="530" t="s">
        <v>264</v>
      </c>
      <c r="F522" s="530" t="s">
        <v>162</v>
      </c>
      <c r="G522" s="530" t="s">
        <v>318</v>
      </c>
      <c r="H522" s="530"/>
      <c r="I522" s="513"/>
      <c r="J522" s="514"/>
      <c r="K522" s="514"/>
      <c r="L522" s="514"/>
      <c r="M522" s="514"/>
      <c r="N522" s="514"/>
      <c r="O522" s="514"/>
      <c r="P522" s="514"/>
      <c r="Q522" s="514"/>
      <c r="R522" s="515"/>
      <c r="S522" s="515"/>
      <c r="T522" s="515"/>
      <c r="U522" s="515"/>
      <c r="V522" s="515"/>
      <c r="W522" s="515"/>
      <c r="X522" s="515"/>
      <c r="Y522" s="515"/>
    </row>
    <row r="523" spans="1:25" ht="15.75" customHeight="1">
      <c r="A523" s="697"/>
      <c r="B523" s="698"/>
      <c r="C523" s="537" t="s">
        <v>40</v>
      </c>
      <c r="D523" s="564"/>
      <c r="E523" s="530"/>
      <c r="F523" s="530"/>
      <c r="G523" s="530"/>
      <c r="H523" s="530"/>
      <c r="I523" s="513"/>
      <c r="J523" s="514"/>
      <c r="K523" s="514"/>
      <c r="L523" s="514"/>
      <c r="M523" s="514"/>
      <c r="N523" s="514"/>
      <c r="O523" s="514"/>
      <c r="P523" s="514"/>
      <c r="Q523" s="514"/>
      <c r="R523" s="515"/>
      <c r="S523" s="515"/>
      <c r="T523" s="515"/>
      <c r="U523" s="515"/>
      <c r="V523" s="515"/>
      <c r="W523" s="515"/>
      <c r="X523" s="515"/>
      <c r="Y523" s="515"/>
    </row>
    <row r="524" spans="1:25">
      <c r="A524" s="697"/>
      <c r="B524" s="698"/>
      <c r="C524" s="498" t="s">
        <v>1566</v>
      </c>
      <c r="D524" s="564"/>
      <c r="E524" s="530"/>
      <c r="F524" s="530"/>
      <c r="G524" s="530"/>
      <c r="H524" s="530"/>
      <c r="I524" s="513"/>
      <c r="J524" s="514"/>
      <c r="K524" s="514"/>
      <c r="L524" s="514"/>
      <c r="M524" s="514"/>
      <c r="N524" s="514"/>
      <c r="O524" s="514"/>
      <c r="P524" s="514"/>
      <c r="Q524" s="514"/>
      <c r="R524" s="515"/>
      <c r="S524" s="515"/>
      <c r="T524" s="515"/>
      <c r="U524" s="515"/>
      <c r="V524" s="515"/>
      <c r="W524" s="515"/>
      <c r="X524" s="515"/>
      <c r="Y524" s="515"/>
    </row>
    <row r="525" spans="1:25" ht="15.75" customHeight="1">
      <c r="A525" s="697"/>
      <c r="B525" s="699"/>
      <c r="C525" s="554" t="s">
        <v>328</v>
      </c>
      <c r="D525" s="568"/>
      <c r="E525" s="535"/>
      <c r="F525" s="535"/>
      <c r="G525" s="535"/>
      <c r="H525" s="535"/>
      <c r="I525" s="513"/>
      <c r="J525" s="514"/>
      <c r="K525" s="514"/>
      <c r="L525" s="514"/>
      <c r="M525" s="514"/>
      <c r="N525" s="514"/>
      <c r="O525" s="514"/>
      <c r="P525" s="514"/>
      <c r="Q525" s="514"/>
      <c r="R525" s="515"/>
      <c r="S525" s="515"/>
      <c r="T525" s="515"/>
      <c r="U525" s="515"/>
      <c r="V525" s="515"/>
      <c r="W525" s="515"/>
      <c r="X525" s="515"/>
      <c r="Y525" s="515"/>
    </row>
    <row r="526" spans="1:25">
      <c r="A526" s="697"/>
      <c r="B526" s="577" t="s">
        <v>329</v>
      </c>
      <c r="C526" s="577" t="s">
        <v>330</v>
      </c>
      <c r="D526" s="578"/>
      <c r="E526" s="580" t="s">
        <v>264</v>
      </c>
      <c r="F526" s="580" t="s">
        <v>162</v>
      </c>
      <c r="G526" s="580"/>
      <c r="H526" s="580"/>
      <c r="I526" s="513"/>
      <c r="J526" s="514"/>
      <c r="K526" s="514"/>
      <c r="L526" s="514"/>
      <c r="M526" s="514"/>
      <c r="N526" s="514"/>
      <c r="O526" s="514"/>
      <c r="P526" s="514"/>
      <c r="Q526" s="514"/>
      <c r="R526" s="515"/>
      <c r="S526" s="515"/>
      <c r="T526" s="515"/>
      <c r="U526" s="515"/>
      <c r="V526" s="515"/>
      <c r="W526" s="515"/>
      <c r="X526" s="515"/>
      <c r="Y526" s="515"/>
    </row>
    <row r="527" spans="1:25" ht="26.75" customHeight="1">
      <c r="A527" s="697"/>
      <c r="B527" s="527" t="s">
        <v>331</v>
      </c>
      <c r="C527" s="528" t="s">
        <v>328</v>
      </c>
      <c r="D527" s="564"/>
      <c r="E527" s="530" t="s">
        <v>264</v>
      </c>
      <c r="F527" s="530" t="s">
        <v>162</v>
      </c>
      <c r="G527" s="530" t="s">
        <v>332</v>
      </c>
      <c r="H527" s="530"/>
      <c r="I527" s="513"/>
      <c r="J527" s="514"/>
      <c r="K527" s="514"/>
      <c r="L527" s="514"/>
      <c r="M527" s="514"/>
      <c r="N527" s="514"/>
      <c r="O527" s="514"/>
      <c r="P527" s="514"/>
      <c r="Q527" s="514"/>
      <c r="R527" s="515"/>
      <c r="S527" s="515"/>
      <c r="T527" s="515"/>
      <c r="U527" s="515"/>
      <c r="V527" s="515"/>
      <c r="W527" s="515"/>
      <c r="X527" s="515"/>
      <c r="Y527" s="515"/>
    </row>
    <row r="528" spans="1:25" ht="15.75" customHeight="1">
      <c r="A528" s="717" t="s">
        <v>333</v>
      </c>
      <c r="B528" s="717"/>
      <c r="C528" s="717"/>
      <c r="D528" s="717"/>
      <c r="E528" s="719"/>
      <c r="F528" s="719"/>
      <c r="G528" s="719"/>
      <c r="H528" s="719"/>
      <c r="I528" s="513"/>
      <c r="J528" s="514"/>
      <c r="K528" s="514"/>
      <c r="L528" s="514"/>
      <c r="M528" s="514"/>
      <c r="N528" s="514"/>
      <c r="O528" s="514"/>
      <c r="P528" s="514"/>
      <c r="Q528" s="514"/>
      <c r="R528" s="515"/>
      <c r="S528" s="515"/>
      <c r="T528" s="515"/>
      <c r="U528" s="515"/>
      <c r="V528" s="515"/>
      <c r="W528" s="515"/>
      <c r="X528" s="515"/>
      <c r="Y528" s="515"/>
    </row>
    <row r="529" spans="1:25" ht="15.75" customHeight="1">
      <c r="A529" s="697" t="s">
        <v>155</v>
      </c>
      <c r="B529" s="698" t="s">
        <v>161</v>
      </c>
      <c r="C529" s="537" t="s">
        <v>1570</v>
      </c>
      <c r="D529" s="564"/>
      <c r="E529" s="530"/>
      <c r="F529" s="530"/>
      <c r="G529" s="530" t="s">
        <v>334</v>
      </c>
      <c r="H529" s="530"/>
      <c r="I529" s="513"/>
      <c r="J529" s="514"/>
      <c r="K529" s="514"/>
      <c r="L529" s="514"/>
      <c r="M529" s="514"/>
      <c r="N529" s="514"/>
      <c r="O529" s="514"/>
      <c r="P529" s="514"/>
      <c r="Q529" s="514"/>
      <c r="R529" s="515"/>
      <c r="S529" s="515"/>
      <c r="T529" s="515"/>
      <c r="U529" s="515"/>
      <c r="V529" s="515"/>
      <c r="W529" s="515"/>
      <c r="X529" s="515"/>
      <c r="Y529" s="515"/>
    </row>
    <row r="530" spans="1:25" ht="26.75" customHeight="1">
      <c r="A530" s="697"/>
      <c r="B530" s="698"/>
      <c r="C530" s="527" t="s">
        <v>335</v>
      </c>
      <c r="D530" s="564"/>
      <c r="E530" s="530"/>
      <c r="F530" s="530"/>
      <c r="G530" s="530"/>
      <c r="H530" s="530"/>
      <c r="I530" s="513"/>
      <c r="J530" s="514"/>
      <c r="K530" s="514"/>
      <c r="L530" s="514"/>
      <c r="M530" s="514"/>
      <c r="N530" s="514"/>
      <c r="O530" s="514"/>
      <c r="P530" s="514"/>
      <c r="Q530" s="514"/>
      <c r="R530" s="515"/>
      <c r="S530" s="515"/>
      <c r="T530" s="515"/>
      <c r="U530" s="515"/>
      <c r="V530" s="515"/>
      <c r="W530" s="515"/>
      <c r="X530" s="515"/>
      <c r="Y530" s="515"/>
    </row>
    <row r="531" spans="1:25" ht="15.75" customHeight="1">
      <c r="A531" s="697"/>
      <c r="B531" s="698"/>
      <c r="C531" s="553" t="s">
        <v>47</v>
      </c>
      <c r="D531" s="564"/>
      <c r="E531" s="530"/>
      <c r="F531" s="530"/>
      <c r="G531" s="530"/>
      <c r="H531" s="530"/>
      <c r="I531" s="513"/>
      <c r="J531" s="514"/>
      <c r="K531" s="514"/>
      <c r="L531" s="514"/>
      <c r="M531" s="514"/>
      <c r="N531" s="514"/>
      <c r="O531" s="514"/>
      <c r="P531" s="514"/>
      <c r="Q531" s="514"/>
      <c r="R531" s="515"/>
      <c r="S531" s="515"/>
      <c r="T531" s="515"/>
      <c r="U531" s="515"/>
      <c r="V531" s="515"/>
      <c r="W531" s="515"/>
      <c r="X531" s="515"/>
      <c r="Y531" s="515"/>
    </row>
    <row r="532" spans="1:25" ht="15.75" customHeight="1">
      <c r="A532" s="697"/>
      <c r="B532" s="698"/>
      <c r="C532" s="495" t="s">
        <v>73</v>
      </c>
      <c r="D532" s="564"/>
      <c r="E532" s="530"/>
      <c r="F532" s="530"/>
      <c r="G532" s="530"/>
      <c r="H532" s="530"/>
      <c r="I532" s="513"/>
      <c r="J532" s="514"/>
      <c r="K532" s="514"/>
      <c r="L532" s="514"/>
      <c r="M532" s="514"/>
      <c r="N532" s="514"/>
      <c r="O532" s="514"/>
      <c r="P532" s="514"/>
      <c r="Q532" s="514"/>
      <c r="R532" s="515"/>
      <c r="S532" s="515"/>
      <c r="T532" s="515"/>
      <c r="U532" s="515"/>
      <c r="V532" s="515"/>
      <c r="W532" s="515"/>
      <c r="X532" s="515"/>
      <c r="Y532" s="515"/>
    </row>
    <row r="533" spans="1:25" ht="15.75" customHeight="1">
      <c r="A533" s="697"/>
      <c r="B533" s="698"/>
      <c r="C533" s="495" t="s">
        <v>135</v>
      </c>
      <c r="D533" s="564"/>
      <c r="E533" s="530"/>
      <c r="F533" s="530"/>
      <c r="G533" s="530"/>
      <c r="H533" s="530"/>
      <c r="I533" s="513"/>
      <c r="J533" s="514"/>
      <c r="K533" s="514"/>
      <c r="L533" s="514"/>
      <c r="M533" s="514"/>
      <c r="N533" s="514"/>
      <c r="O533" s="514"/>
      <c r="P533" s="514"/>
      <c r="Q533" s="514"/>
      <c r="R533" s="515"/>
      <c r="S533" s="515"/>
      <c r="T533" s="515"/>
      <c r="U533" s="515"/>
      <c r="V533" s="515"/>
      <c r="W533" s="515"/>
      <c r="X533" s="515"/>
      <c r="Y533" s="515"/>
    </row>
    <row r="534" spans="1:25" ht="15.75" customHeight="1">
      <c r="A534" s="718"/>
      <c r="B534" s="699"/>
      <c r="C534" s="554" t="s">
        <v>336</v>
      </c>
      <c r="D534" s="568"/>
      <c r="E534" s="535"/>
      <c r="F534" s="535"/>
      <c r="G534" s="535"/>
      <c r="H534" s="535"/>
      <c r="I534" s="513"/>
      <c r="J534" s="514"/>
      <c r="K534" s="514"/>
      <c r="L534" s="514"/>
      <c r="M534" s="514"/>
      <c r="N534" s="514"/>
      <c r="O534" s="514"/>
      <c r="P534" s="514"/>
      <c r="Q534" s="514"/>
      <c r="R534" s="515"/>
      <c r="S534" s="515"/>
      <c r="T534" s="515"/>
      <c r="U534" s="515"/>
      <c r="V534" s="515"/>
      <c r="W534" s="515"/>
      <c r="X534" s="515"/>
      <c r="Y534" s="515"/>
    </row>
    <row r="535" spans="1:25" ht="26.75" customHeight="1">
      <c r="A535" s="697" t="s">
        <v>337</v>
      </c>
      <c r="B535" s="577" t="s">
        <v>338</v>
      </c>
      <c r="C535" s="554" t="s">
        <v>339</v>
      </c>
      <c r="D535" s="578"/>
      <c r="E535" s="580" t="s">
        <v>275</v>
      </c>
      <c r="F535" s="580" t="s">
        <v>275</v>
      </c>
      <c r="G535" s="580" t="s">
        <v>282</v>
      </c>
      <c r="H535" s="580"/>
      <c r="I535" s="513"/>
      <c r="J535" s="514"/>
      <c r="K535" s="514"/>
      <c r="L535" s="514"/>
      <c r="M535" s="514"/>
      <c r="N535" s="514"/>
      <c r="O535" s="514"/>
      <c r="P535" s="514"/>
      <c r="Q535" s="514"/>
      <c r="R535" s="515"/>
      <c r="S535" s="515"/>
      <c r="T535" s="515"/>
      <c r="U535" s="515"/>
      <c r="V535" s="515"/>
      <c r="W535" s="515"/>
      <c r="X535" s="515"/>
      <c r="Y535" s="515"/>
    </row>
    <row r="536" spans="1:25" ht="39.25" customHeight="1">
      <c r="A536" s="697"/>
      <c r="B536" s="700" t="s">
        <v>340</v>
      </c>
      <c r="C536" s="537" t="s">
        <v>1570</v>
      </c>
      <c r="D536" s="570"/>
      <c r="E536" s="539"/>
      <c r="F536" s="539"/>
      <c r="G536" s="539" t="s">
        <v>341</v>
      </c>
      <c r="H536" s="539"/>
      <c r="I536" s="513"/>
      <c r="J536" s="513"/>
      <c r="K536" s="513"/>
      <c r="L536" s="513"/>
      <c r="M536" s="513"/>
      <c r="N536" s="513"/>
      <c r="O536" s="513"/>
      <c r="P536" s="513"/>
      <c r="Q536" s="513"/>
      <c r="R536" s="515"/>
      <c r="S536" s="515"/>
      <c r="T536" s="515"/>
      <c r="U536" s="515"/>
      <c r="V536" s="515"/>
      <c r="W536" s="515"/>
      <c r="X536" s="515"/>
      <c r="Y536" s="515"/>
    </row>
    <row r="537" spans="1:25" ht="15.75" customHeight="1">
      <c r="A537" s="697"/>
      <c r="B537" s="698"/>
      <c r="C537" s="527" t="s">
        <v>342</v>
      </c>
      <c r="D537" s="564"/>
      <c r="E537" s="530"/>
      <c r="F537" s="530"/>
      <c r="G537" s="530"/>
      <c r="H537" s="530"/>
      <c r="I537" s="513"/>
      <c r="J537" s="513"/>
      <c r="K537" s="513"/>
      <c r="L537" s="513"/>
      <c r="M537" s="513"/>
      <c r="N537" s="513"/>
      <c r="O537" s="513"/>
      <c r="P537" s="513"/>
      <c r="Q537" s="513"/>
      <c r="R537" s="515"/>
      <c r="S537" s="515"/>
      <c r="T537" s="515"/>
      <c r="U537" s="515"/>
      <c r="V537" s="515"/>
      <c r="W537" s="515"/>
      <c r="X537" s="515"/>
      <c r="Y537" s="515"/>
    </row>
    <row r="538" spans="1:25" ht="15.75" customHeight="1">
      <c r="A538" s="697"/>
      <c r="B538" s="698"/>
      <c r="C538" s="553" t="s">
        <v>47</v>
      </c>
      <c r="D538" s="564"/>
      <c r="E538" s="530"/>
      <c r="F538" s="530"/>
      <c r="G538" s="530"/>
      <c r="H538" s="530"/>
      <c r="I538" s="513"/>
      <c r="J538" s="513"/>
      <c r="K538" s="513"/>
      <c r="L538" s="513"/>
      <c r="M538" s="513"/>
      <c r="N538" s="513"/>
      <c r="O538" s="513"/>
      <c r="P538" s="513"/>
      <c r="Q538" s="513"/>
      <c r="R538" s="515"/>
      <c r="S538" s="515"/>
      <c r="T538" s="515"/>
      <c r="U538" s="515"/>
      <c r="V538" s="515"/>
      <c r="W538" s="515"/>
      <c r="X538" s="515"/>
      <c r="Y538" s="515"/>
    </row>
    <row r="539" spans="1:25" ht="15.75" customHeight="1">
      <c r="A539" s="697"/>
      <c r="B539" s="698"/>
      <c r="C539" s="495" t="s">
        <v>73</v>
      </c>
      <c r="D539" s="564"/>
      <c r="E539" s="530"/>
      <c r="F539" s="530"/>
      <c r="G539" s="530"/>
      <c r="H539" s="530"/>
      <c r="I539" s="513"/>
      <c r="J539" s="513"/>
      <c r="K539" s="513"/>
      <c r="L539" s="513"/>
      <c r="M539" s="513"/>
      <c r="N539" s="513"/>
      <c r="O539" s="513"/>
      <c r="P539" s="513"/>
      <c r="Q539" s="513"/>
      <c r="R539" s="515"/>
      <c r="S539" s="515"/>
      <c r="T539" s="515"/>
      <c r="U539" s="515"/>
      <c r="V539" s="515"/>
      <c r="W539" s="515"/>
      <c r="X539" s="515"/>
      <c r="Y539" s="515"/>
    </row>
    <row r="540" spans="1:25" ht="15.75" customHeight="1">
      <c r="A540" s="697"/>
      <c r="B540" s="698"/>
      <c r="C540" s="527" t="s">
        <v>343</v>
      </c>
      <c r="D540" s="564"/>
      <c r="E540" s="530"/>
      <c r="F540" s="530"/>
      <c r="G540" s="530"/>
      <c r="H540" s="530"/>
      <c r="I540" s="513"/>
      <c r="J540" s="513"/>
      <c r="K540" s="513"/>
      <c r="L540" s="513"/>
      <c r="M540" s="513"/>
      <c r="N540" s="513"/>
      <c r="O540" s="513"/>
      <c r="P540" s="513"/>
      <c r="Q540" s="513"/>
      <c r="R540" s="515"/>
      <c r="S540" s="515"/>
      <c r="T540" s="515"/>
      <c r="U540" s="515"/>
      <c r="V540" s="515"/>
      <c r="W540" s="515"/>
      <c r="X540" s="515"/>
      <c r="Y540" s="515"/>
    </row>
    <row r="541" spans="1:25" ht="15.75" customHeight="1">
      <c r="A541" s="697"/>
      <c r="B541" s="698"/>
      <c r="C541" s="495" t="s">
        <v>259</v>
      </c>
      <c r="D541" s="564"/>
      <c r="E541" s="530"/>
      <c r="F541" s="530"/>
      <c r="G541" s="530"/>
      <c r="H541" s="530"/>
      <c r="I541" s="513"/>
      <c r="J541" s="513"/>
      <c r="K541" s="513"/>
      <c r="L541" s="513"/>
      <c r="M541" s="513"/>
      <c r="N541" s="513"/>
      <c r="O541" s="513"/>
      <c r="P541" s="513"/>
      <c r="Q541" s="513"/>
      <c r="R541" s="515"/>
      <c r="S541" s="515"/>
      <c r="T541" s="515"/>
      <c r="U541" s="515"/>
      <c r="V541" s="515"/>
      <c r="W541" s="515"/>
      <c r="X541" s="515"/>
      <c r="Y541" s="515"/>
    </row>
    <row r="542" spans="1:25" ht="15.75" customHeight="1">
      <c r="A542" s="697"/>
      <c r="B542" s="698"/>
      <c r="C542" s="495" t="s">
        <v>135</v>
      </c>
      <c r="D542" s="564"/>
      <c r="E542" s="530"/>
      <c r="F542" s="530"/>
      <c r="G542" s="530"/>
      <c r="H542" s="530"/>
      <c r="I542" s="513"/>
      <c r="J542" s="513"/>
      <c r="K542" s="513"/>
      <c r="L542" s="513"/>
      <c r="M542" s="513"/>
      <c r="N542" s="513"/>
      <c r="O542" s="513"/>
      <c r="P542" s="513"/>
      <c r="Q542" s="513"/>
      <c r="R542" s="515"/>
      <c r="S542" s="515"/>
      <c r="T542" s="515"/>
      <c r="U542" s="515"/>
      <c r="V542" s="515"/>
      <c r="W542" s="515"/>
      <c r="X542" s="515"/>
      <c r="Y542" s="515"/>
    </row>
    <row r="543" spans="1:25" ht="15.75" customHeight="1">
      <c r="A543" s="697"/>
      <c r="B543" s="698"/>
      <c r="C543" s="528" t="s">
        <v>336</v>
      </c>
      <c r="D543" s="564"/>
      <c r="E543" s="530"/>
      <c r="F543" s="530"/>
      <c r="G543" s="530"/>
      <c r="H543" s="530"/>
      <c r="I543" s="513"/>
      <c r="J543" s="513"/>
      <c r="K543" s="513"/>
      <c r="L543" s="513"/>
      <c r="M543" s="513"/>
      <c r="N543" s="513"/>
      <c r="O543" s="513"/>
      <c r="P543" s="513"/>
      <c r="Q543" s="513"/>
      <c r="R543" s="515"/>
      <c r="S543" s="515"/>
      <c r="T543" s="515"/>
      <c r="U543" s="515"/>
      <c r="V543" s="515"/>
      <c r="W543" s="515"/>
      <c r="X543" s="515"/>
      <c r="Y543" s="515"/>
    </row>
    <row r="544" spans="1:25" ht="15.75" customHeight="1">
      <c r="A544" s="697"/>
      <c r="B544" s="699"/>
      <c r="C544" s="494" t="s">
        <v>344</v>
      </c>
      <c r="D544" s="568"/>
      <c r="E544" s="535"/>
      <c r="F544" s="535"/>
      <c r="G544" s="535"/>
      <c r="H544" s="535"/>
      <c r="I544" s="513"/>
      <c r="J544" s="513"/>
      <c r="K544" s="513"/>
      <c r="L544" s="513"/>
      <c r="M544" s="513"/>
      <c r="N544" s="513"/>
      <c r="O544" s="513"/>
      <c r="P544" s="513"/>
      <c r="Q544" s="513"/>
      <c r="R544" s="515"/>
      <c r="S544" s="515"/>
      <c r="T544" s="515"/>
      <c r="U544" s="515"/>
      <c r="V544" s="515"/>
      <c r="W544" s="515"/>
      <c r="X544" s="515"/>
      <c r="Y544" s="515"/>
    </row>
    <row r="545" spans="1:25" ht="15.75" customHeight="1">
      <c r="A545" s="697"/>
      <c r="B545" s="519" t="s">
        <v>345</v>
      </c>
      <c r="C545" s="537" t="s">
        <v>1570</v>
      </c>
      <c r="D545" s="564"/>
      <c r="E545" s="530" t="s">
        <v>275</v>
      </c>
      <c r="F545" s="530" t="s">
        <v>346</v>
      </c>
      <c r="G545" s="530"/>
      <c r="H545" s="530"/>
      <c r="I545" s="513"/>
      <c r="J545" s="514"/>
      <c r="K545" s="514"/>
      <c r="L545" s="514"/>
      <c r="M545" s="514"/>
      <c r="N545" s="514"/>
      <c r="O545" s="514"/>
      <c r="P545" s="514"/>
      <c r="Q545" s="514"/>
      <c r="R545" s="515"/>
      <c r="S545" s="515"/>
      <c r="T545" s="515"/>
      <c r="U545" s="515"/>
      <c r="V545" s="515"/>
      <c r="W545" s="515"/>
      <c r="X545" s="515"/>
      <c r="Y545" s="515"/>
    </row>
    <row r="546" spans="1:25" ht="15.75" customHeight="1">
      <c r="A546" s="697"/>
      <c r="B546" s="559"/>
      <c r="C546" s="533" t="s">
        <v>347</v>
      </c>
      <c r="D546" s="568"/>
      <c r="E546" s="535"/>
      <c r="F546" s="535"/>
      <c r="G546" s="535"/>
      <c r="H546" s="535"/>
      <c r="I546" s="513"/>
      <c r="J546" s="514"/>
      <c r="K546" s="514"/>
      <c r="L546" s="514"/>
      <c r="M546" s="514"/>
      <c r="N546" s="514"/>
      <c r="O546" s="514"/>
      <c r="P546" s="514"/>
      <c r="Q546" s="514"/>
      <c r="R546" s="515"/>
      <c r="S546" s="515"/>
      <c r="T546" s="515"/>
      <c r="U546" s="515"/>
      <c r="V546" s="515"/>
      <c r="W546" s="515"/>
      <c r="X546" s="515"/>
      <c r="Y546" s="515"/>
    </row>
    <row r="547" spans="1:25" ht="15.75" customHeight="1">
      <c r="A547" s="697"/>
      <c r="B547" s="519" t="s">
        <v>348</v>
      </c>
      <c r="C547" s="553" t="s">
        <v>47</v>
      </c>
      <c r="D547" s="564"/>
      <c r="E547" s="541">
        <v>8</v>
      </c>
      <c r="F547" s="541">
        <v>6</v>
      </c>
      <c r="G547" s="530"/>
      <c r="H547" s="530"/>
      <c r="I547" s="513"/>
      <c r="J547" s="514"/>
      <c r="K547" s="514"/>
      <c r="L547" s="514"/>
      <c r="M547" s="514"/>
      <c r="N547" s="514"/>
      <c r="O547" s="514"/>
      <c r="P547" s="514"/>
      <c r="Q547" s="514"/>
      <c r="R547" s="515"/>
      <c r="S547" s="515"/>
      <c r="T547" s="515"/>
      <c r="U547" s="515"/>
      <c r="V547" s="515"/>
      <c r="W547" s="515"/>
      <c r="X547" s="515"/>
      <c r="Y547" s="515"/>
    </row>
    <row r="548" spans="1:25" ht="15.75" customHeight="1">
      <c r="A548" s="697"/>
      <c r="B548" s="519"/>
      <c r="C548" s="495" t="s">
        <v>259</v>
      </c>
      <c r="D548" s="564"/>
      <c r="E548" s="530"/>
      <c r="F548" s="530"/>
      <c r="G548" s="530"/>
      <c r="H548" s="530"/>
      <c r="I548" s="513"/>
      <c r="J548" s="514"/>
      <c r="K548" s="514"/>
      <c r="L548" s="514"/>
      <c r="M548" s="514"/>
      <c r="N548" s="514"/>
      <c r="O548" s="514"/>
      <c r="P548" s="514"/>
      <c r="Q548" s="514"/>
      <c r="R548" s="515"/>
      <c r="S548" s="515"/>
      <c r="T548" s="515"/>
      <c r="U548" s="515"/>
      <c r="V548" s="515"/>
      <c r="W548" s="515"/>
      <c r="X548" s="515"/>
      <c r="Y548" s="515"/>
    </row>
    <row r="549" spans="1:25" ht="15.75" customHeight="1">
      <c r="A549" s="697"/>
      <c r="B549" s="559"/>
      <c r="C549" s="494" t="s">
        <v>73</v>
      </c>
      <c r="D549" s="568"/>
      <c r="E549" s="535"/>
      <c r="F549" s="535"/>
      <c r="G549" s="535"/>
      <c r="H549" s="535"/>
      <c r="I549" s="513"/>
      <c r="J549" s="514"/>
      <c r="K549" s="514"/>
      <c r="L549" s="514"/>
      <c r="M549" s="514"/>
      <c r="N549" s="514"/>
      <c r="O549" s="514"/>
      <c r="P549" s="514"/>
      <c r="Q549" s="514"/>
      <c r="R549" s="515"/>
      <c r="S549" s="515"/>
      <c r="T549" s="515"/>
      <c r="U549" s="515"/>
      <c r="V549" s="515"/>
      <c r="W549" s="515"/>
      <c r="X549" s="515"/>
      <c r="Y549" s="515"/>
    </row>
    <row r="550" spans="1:25" ht="15.75" customHeight="1">
      <c r="A550" s="697"/>
      <c r="B550" s="519" t="s">
        <v>349</v>
      </c>
      <c r="C550" s="553" t="s">
        <v>47</v>
      </c>
      <c r="D550" s="564"/>
      <c r="E550" s="530" t="s">
        <v>275</v>
      </c>
      <c r="F550" s="582">
        <v>6.9</v>
      </c>
      <c r="G550" s="530"/>
      <c r="H550" s="530"/>
      <c r="I550" s="513"/>
      <c r="J550" s="514"/>
      <c r="K550" s="514"/>
      <c r="L550" s="514"/>
      <c r="M550" s="514"/>
      <c r="N550" s="514"/>
      <c r="O550" s="514"/>
      <c r="P550" s="514"/>
      <c r="Q550" s="514"/>
      <c r="R550" s="515"/>
      <c r="S550" s="515"/>
      <c r="T550" s="515"/>
      <c r="U550" s="515"/>
      <c r="V550" s="515"/>
      <c r="W550" s="515"/>
      <c r="X550" s="515"/>
      <c r="Y550" s="515"/>
    </row>
    <row r="551" spans="1:25" ht="15.75" customHeight="1">
      <c r="A551" s="526"/>
      <c r="B551" s="519"/>
      <c r="C551" s="495" t="s">
        <v>259</v>
      </c>
      <c r="D551" s="564"/>
      <c r="E551" s="530"/>
      <c r="F551" s="530"/>
      <c r="G551" s="530"/>
      <c r="H551" s="530"/>
      <c r="I551" s="513"/>
      <c r="J551" s="514"/>
      <c r="K551" s="514"/>
      <c r="L551" s="514"/>
      <c r="M551" s="514"/>
      <c r="N551" s="514"/>
      <c r="O551" s="514"/>
      <c r="P551" s="514"/>
      <c r="Q551" s="514"/>
      <c r="R551" s="515"/>
      <c r="S551" s="515"/>
      <c r="T551" s="515"/>
      <c r="U551" s="515"/>
      <c r="V551" s="515"/>
      <c r="W551" s="515"/>
      <c r="X551" s="515"/>
      <c r="Y551" s="515"/>
    </row>
    <row r="552" spans="1:25" ht="15.75" customHeight="1">
      <c r="A552" s="569"/>
      <c r="B552" s="559"/>
      <c r="C552" s="494" t="s">
        <v>73</v>
      </c>
      <c r="D552" s="568"/>
      <c r="E552" s="535"/>
      <c r="F552" s="535"/>
      <c r="G552" s="535"/>
      <c r="H552" s="535"/>
      <c r="I552" s="513"/>
      <c r="J552" s="514"/>
      <c r="K552" s="514"/>
      <c r="L552" s="514"/>
      <c r="M552" s="514"/>
      <c r="N552" s="514"/>
      <c r="O552" s="514"/>
      <c r="P552" s="514"/>
      <c r="Q552" s="514"/>
      <c r="R552" s="515"/>
      <c r="S552" s="515"/>
      <c r="T552" s="515"/>
      <c r="U552" s="515"/>
      <c r="V552" s="515"/>
      <c r="W552" s="515"/>
      <c r="X552" s="515"/>
      <c r="Y552" s="515"/>
    </row>
    <row r="553" spans="1:25" ht="15.75" customHeight="1">
      <c r="A553" s="526" t="s">
        <v>350</v>
      </c>
      <c r="B553" s="698" t="s">
        <v>351</v>
      </c>
      <c r="C553" s="537" t="s">
        <v>26</v>
      </c>
      <c r="D553" s="564"/>
      <c r="E553" s="530"/>
      <c r="F553" s="530"/>
      <c r="G553" s="530" t="s">
        <v>352</v>
      </c>
      <c r="H553" s="530"/>
      <c r="I553" s="513"/>
      <c r="J553" s="513"/>
      <c r="K553" s="513"/>
      <c r="L553" s="513"/>
      <c r="M553" s="513"/>
      <c r="N553" s="513"/>
      <c r="O553" s="513"/>
      <c r="P553" s="513"/>
      <c r="Q553" s="513"/>
      <c r="R553" s="515"/>
      <c r="S553" s="515"/>
      <c r="T553" s="515"/>
      <c r="U553" s="515"/>
      <c r="V553" s="515"/>
      <c r="W553" s="515"/>
      <c r="X553" s="515"/>
      <c r="Y553" s="515"/>
    </row>
    <row r="554" spans="1:25" ht="15.75" customHeight="1">
      <c r="A554" s="526"/>
      <c r="B554" s="698"/>
      <c r="C554" s="527" t="s">
        <v>342</v>
      </c>
      <c r="D554" s="564"/>
      <c r="E554" s="530"/>
      <c r="F554" s="530"/>
      <c r="G554" s="530"/>
      <c r="H554" s="530"/>
      <c r="I554" s="513"/>
      <c r="J554" s="513"/>
      <c r="K554" s="513"/>
      <c r="L554" s="513"/>
      <c r="M554" s="513"/>
      <c r="N554" s="513"/>
      <c r="O554" s="513"/>
      <c r="P554" s="513"/>
      <c r="Q554" s="513"/>
      <c r="R554" s="515"/>
      <c r="S554" s="515"/>
      <c r="T554" s="515"/>
      <c r="U554" s="515"/>
      <c r="V554" s="515"/>
      <c r="W554" s="515"/>
      <c r="X554" s="515"/>
      <c r="Y554" s="515"/>
    </row>
    <row r="555" spans="1:25" ht="15.75" customHeight="1">
      <c r="A555" s="526"/>
      <c r="B555" s="698"/>
      <c r="C555" s="528" t="s">
        <v>336</v>
      </c>
      <c r="D555" s="564"/>
      <c r="E555" s="530"/>
      <c r="F555" s="530"/>
      <c r="G555" s="530"/>
      <c r="H555" s="530"/>
      <c r="I555" s="513"/>
      <c r="J555" s="513"/>
      <c r="K555" s="513"/>
      <c r="L555" s="513"/>
      <c r="M555" s="513"/>
      <c r="N555" s="513"/>
      <c r="O555" s="513"/>
      <c r="P555" s="513"/>
      <c r="Q555" s="513"/>
      <c r="R555" s="515"/>
      <c r="S555" s="515"/>
      <c r="T555" s="515"/>
      <c r="U555" s="515"/>
      <c r="V555" s="515"/>
      <c r="W555" s="515"/>
      <c r="X555" s="515"/>
      <c r="Y555" s="515"/>
    </row>
    <row r="556" spans="1:25" ht="15.75" customHeight="1">
      <c r="A556" s="717" t="s">
        <v>353</v>
      </c>
      <c r="B556" s="717"/>
      <c r="C556" s="717"/>
      <c r="D556" s="717"/>
      <c r="E556" s="566"/>
      <c r="F556" s="566"/>
      <c r="G556" s="566"/>
      <c r="H556" s="566"/>
      <c r="I556" s="513"/>
      <c r="J556" s="513"/>
      <c r="K556" s="513"/>
      <c r="L556" s="513"/>
      <c r="M556" s="513"/>
      <c r="N556" s="513"/>
      <c r="O556" s="513"/>
      <c r="P556" s="513"/>
      <c r="Q556" s="513"/>
      <c r="R556" s="513"/>
      <c r="S556" s="513"/>
      <c r="T556" s="513"/>
      <c r="U556" s="513"/>
      <c r="V556" s="513"/>
      <c r="W556" s="513"/>
      <c r="X556" s="513"/>
      <c r="Y556" s="513"/>
    </row>
    <row r="557" spans="1:25" ht="15.75" customHeight="1">
      <c r="A557" s="697" t="s">
        <v>155</v>
      </c>
      <c r="B557" s="527" t="s">
        <v>161</v>
      </c>
      <c r="C557" s="537" t="s">
        <v>1570</v>
      </c>
      <c r="D557" s="564"/>
      <c r="E557" s="530"/>
      <c r="F557" s="530"/>
      <c r="G557" s="530"/>
      <c r="H557" s="530"/>
      <c r="I557" s="513"/>
      <c r="J557" s="514"/>
      <c r="K557" s="514"/>
      <c r="L557" s="514"/>
      <c r="M557" s="514"/>
      <c r="N557" s="514"/>
      <c r="O557" s="514"/>
      <c r="P557" s="514"/>
      <c r="Q557" s="514"/>
      <c r="R557" s="515"/>
      <c r="S557" s="515"/>
      <c r="T557" s="515"/>
      <c r="U557" s="515"/>
      <c r="V557" s="515"/>
      <c r="W557" s="515"/>
      <c r="X557" s="515"/>
      <c r="Y557" s="515"/>
    </row>
    <row r="558" spans="1:25" ht="15.75" customHeight="1">
      <c r="A558" s="697"/>
      <c r="B558" s="527"/>
      <c r="C558" s="527" t="s">
        <v>354</v>
      </c>
      <c r="D558" s="564"/>
      <c r="E558" s="530"/>
      <c r="F558" s="530"/>
      <c r="G558" s="530"/>
      <c r="H558" s="530"/>
      <c r="I558" s="513"/>
      <c r="J558" s="514"/>
      <c r="K558" s="514"/>
      <c r="L558" s="514"/>
      <c r="M558" s="514"/>
      <c r="N558" s="514"/>
      <c r="O558" s="514"/>
      <c r="P558" s="514"/>
      <c r="Q558" s="514"/>
      <c r="R558" s="515"/>
      <c r="S558" s="515"/>
      <c r="T558" s="515"/>
      <c r="U558" s="515"/>
      <c r="V558" s="515"/>
      <c r="W558" s="515"/>
      <c r="X558" s="515"/>
      <c r="Y558" s="515"/>
    </row>
    <row r="559" spans="1:25" ht="15.75" customHeight="1">
      <c r="A559" s="697"/>
      <c r="B559" s="527"/>
      <c r="C559" s="537" t="s">
        <v>38</v>
      </c>
      <c r="D559" s="564"/>
      <c r="E559" s="530"/>
      <c r="F559" s="530"/>
      <c r="G559" s="530"/>
      <c r="H559" s="530"/>
      <c r="I559" s="513"/>
      <c r="J559" s="514"/>
      <c r="K559" s="514"/>
      <c r="L559" s="514"/>
      <c r="M559" s="514"/>
      <c r="N559" s="514"/>
      <c r="O559" s="514"/>
      <c r="P559" s="514"/>
      <c r="Q559" s="514"/>
      <c r="R559" s="515"/>
      <c r="S559" s="515"/>
      <c r="T559" s="515"/>
      <c r="U559" s="515"/>
      <c r="V559" s="515"/>
      <c r="W559" s="515"/>
      <c r="X559" s="515"/>
      <c r="Y559" s="515"/>
    </row>
    <row r="560" spans="1:25" ht="15.75" customHeight="1">
      <c r="A560" s="697"/>
      <c r="B560" s="527"/>
      <c r="C560" s="527" t="s">
        <v>355</v>
      </c>
      <c r="D560" s="564"/>
      <c r="E560" s="530"/>
      <c r="F560" s="530"/>
      <c r="G560" s="530"/>
      <c r="H560" s="530"/>
      <c r="I560" s="513"/>
      <c r="J560" s="514"/>
      <c r="K560" s="514"/>
      <c r="L560" s="514"/>
      <c r="M560" s="514"/>
      <c r="N560" s="514"/>
      <c r="O560" s="514"/>
      <c r="P560" s="514"/>
      <c r="Q560" s="514"/>
      <c r="R560" s="515"/>
      <c r="S560" s="515"/>
      <c r="T560" s="515"/>
      <c r="U560" s="515"/>
      <c r="V560" s="515"/>
      <c r="W560" s="515"/>
      <c r="X560" s="515"/>
      <c r="Y560" s="515"/>
    </row>
    <row r="561" spans="1:25" ht="15.75" customHeight="1">
      <c r="A561" s="697"/>
      <c r="B561" s="527"/>
      <c r="C561" s="553" t="s">
        <v>47</v>
      </c>
      <c r="D561" s="564"/>
      <c r="E561" s="530"/>
      <c r="F561" s="530"/>
      <c r="G561" s="530"/>
      <c r="H561" s="530"/>
      <c r="I561" s="513"/>
      <c r="J561" s="514"/>
      <c r="K561" s="514"/>
      <c r="L561" s="514"/>
      <c r="M561" s="514"/>
      <c r="N561" s="514"/>
      <c r="O561" s="514"/>
      <c r="P561" s="514"/>
      <c r="Q561" s="514"/>
      <c r="R561" s="515"/>
      <c r="S561" s="515"/>
      <c r="T561" s="515"/>
      <c r="U561" s="515"/>
      <c r="V561" s="515"/>
      <c r="W561" s="515"/>
      <c r="X561" s="515"/>
      <c r="Y561" s="515"/>
    </row>
    <row r="562" spans="1:25" ht="15.75" customHeight="1">
      <c r="A562" s="697"/>
      <c r="B562" s="527"/>
      <c r="C562" s="495" t="s">
        <v>356</v>
      </c>
      <c r="D562" s="564"/>
      <c r="E562" s="530"/>
      <c r="F562" s="530"/>
      <c r="G562" s="530"/>
      <c r="H562" s="530"/>
      <c r="I562" s="513"/>
      <c r="J562" s="514"/>
      <c r="K562" s="514"/>
      <c r="L562" s="514"/>
      <c r="M562" s="514"/>
      <c r="N562" s="514"/>
      <c r="O562" s="514"/>
      <c r="P562" s="514"/>
      <c r="Q562" s="514"/>
      <c r="R562" s="515"/>
      <c r="S562" s="515"/>
      <c r="T562" s="515"/>
      <c r="U562" s="515"/>
      <c r="V562" s="515"/>
      <c r="W562" s="515"/>
      <c r="X562" s="515"/>
      <c r="Y562" s="515"/>
    </row>
    <row r="563" spans="1:25" ht="15.75" customHeight="1">
      <c r="A563" s="697"/>
      <c r="B563" s="527"/>
      <c r="C563" s="527" t="s">
        <v>357</v>
      </c>
      <c r="D563" s="564"/>
      <c r="E563" s="530"/>
      <c r="F563" s="530"/>
      <c r="G563" s="530"/>
      <c r="H563" s="530"/>
      <c r="I563" s="513"/>
      <c r="J563" s="514"/>
      <c r="K563" s="514"/>
      <c r="L563" s="514"/>
      <c r="M563" s="514"/>
      <c r="N563" s="514"/>
      <c r="O563" s="514"/>
      <c r="P563" s="514"/>
      <c r="Q563" s="514"/>
      <c r="R563" s="515"/>
      <c r="S563" s="515"/>
      <c r="T563" s="515"/>
      <c r="U563" s="515"/>
      <c r="V563" s="515"/>
      <c r="W563" s="515"/>
      <c r="X563" s="515"/>
      <c r="Y563" s="515"/>
    </row>
    <row r="564" spans="1:25" ht="15.75" customHeight="1">
      <c r="A564" s="697"/>
      <c r="B564" s="527"/>
      <c r="C564" s="495" t="s">
        <v>1592</v>
      </c>
      <c r="D564" s="564"/>
      <c r="E564" s="530"/>
      <c r="F564" s="530"/>
      <c r="G564" s="530"/>
      <c r="H564" s="530"/>
      <c r="I564" s="513"/>
      <c r="J564" s="514"/>
      <c r="K564" s="514"/>
      <c r="L564" s="514"/>
      <c r="M564" s="514"/>
      <c r="N564" s="514"/>
      <c r="O564" s="514"/>
      <c r="P564" s="514"/>
      <c r="Q564" s="514"/>
      <c r="R564" s="515"/>
      <c r="S564" s="515"/>
      <c r="T564" s="515"/>
      <c r="U564" s="515"/>
      <c r="V564" s="515"/>
      <c r="W564" s="515"/>
      <c r="X564" s="515"/>
      <c r="Y564" s="515"/>
    </row>
    <row r="565" spans="1:25">
      <c r="A565" s="718"/>
      <c r="B565" s="533"/>
      <c r="C565" s="508" t="s">
        <v>358</v>
      </c>
      <c r="D565" s="568"/>
      <c r="E565" s="535"/>
      <c r="F565" s="535"/>
      <c r="G565" s="535"/>
      <c r="H565" s="535"/>
      <c r="I565" s="513"/>
      <c r="J565" s="514"/>
      <c r="K565" s="514"/>
      <c r="L565" s="514"/>
      <c r="M565" s="514"/>
      <c r="N565" s="514"/>
      <c r="O565" s="514"/>
      <c r="P565" s="514"/>
      <c r="Q565" s="514"/>
      <c r="R565" s="515"/>
      <c r="S565" s="515"/>
      <c r="T565" s="515"/>
      <c r="U565" s="515"/>
      <c r="V565" s="515"/>
      <c r="W565" s="515"/>
      <c r="X565" s="515"/>
      <c r="Y565" s="515"/>
    </row>
    <row r="566" spans="1:25" ht="15" customHeight="1">
      <c r="A566" s="697" t="s">
        <v>359</v>
      </c>
      <c r="B566" s="577" t="s">
        <v>360</v>
      </c>
      <c r="C566" s="509" t="s">
        <v>358</v>
      </c>
      <c r="D566" s="578"/>
      <c r="E566" s="579">
        <v>8</v>
      </c>
      <c r="F566" s="580" t="s">
        <v>55</v>
      </c>
      <c r="G566" s="580"/>
      <c r="H566" s="580"/>
      <c r="I566" s="513"/>
      <c r="J566" s="514"/>
      <c r="K566" s="514"/>
      <c r="L566" s="514"/>
      <c r="M566" s="514"/>
      <c r="N566" s="514"/>
      <c r="O566" s="514"/>
      <c r="P566" s="514"/>
      <c r="Q566" s="514"/>
      <c r="R566" s="515"/>
      <c r="S566" s="515"/>
      <c r="T566" s="515"/>
      <c r="U566" s="515"/>
      <c r="V566" s="515"/>
      <c r="W566" s="515"/>
      <c r="X566" s="515"/>
      <c r="Y566" s="515"/>
    </row>
    <row r="567" spans="1:25" ht="26.75" customHeight="1">
      <c r="A567" s="697"/>
      <c r="B567" s="527" t="s">
        <v>361</v>
      </c>
      <c r="C567" s="508" t="s">
        <v>358</v>
      </c>
      <c r="D567" s="564"/>
      <c r="E567" s="541">
        <v>8</v>
      </c>
      <c r="F567" s="530" t="s">
        <v>362</v>
      </c>
      <c r="G567" s="530"/>
      <c r="H567" s="530"/>
      <c r="I567" s="513"/>
      <c r="J567" s="514"/>
      <c r="K567" s="514"/>
      <c r="L567" s="514"/>
      <c r="M567" s="514"/>
      <c r="N567" s="514"/>
      <c r="O567" s="514"/>
      <c r="P567" s="514"/>
      <c r="Q567" s="514"/>
      <c r="R567" s="515"/>
      <c r="S567" s="515"/>
      <c r="T567" s="515"/>
      <c r="U567" s="515"/>
      <c r="V567" s="515"/>
      <c r="W567" s="515"/>
      <c r="X567" s="515"/>
      <c r="Y567" s="515"/>
    </row>
    <row r="568" spans="1:25" ht="15.75" customHeight="1">
      <c r="A568" s="717" t="s">
        <v>363</v>
      </c>
      <c r="B568" s="717"/>
      <c r="C568" s="717"/>
      <c r="D568" s="717"/>
      <c r="E568" s="719"/>
      <c r="F568" s="719"/>
      <c r="G568" s="719"/>
      <c r="H568" s="719"/>
      <c r="I568" s="513"/>
      <c r="J568" s="514"/>
      <c r="K568" s="514"/>
      <c r="L568" s="514"/>
      <c r="M568" s="514"/>
      <c r="N568" s="514"/>
      <c r="O568" s="514"/>
      <c r="P568" s="514"/>
      <c r="Q568" s="514"/>
      <c r="R568" s="515"/>
      <c r="S568" s="515"/>
      <c r="T568" s="515"/>
      <c r="U568" s="515"/>
      <c r="V568" s="515"/>
      <c r="W568" s="515"/>
      <c r="X568" s="515"/>
      <c r="Y568" s="515"/>
    </row>
    <row r="569" spans="1:25" ht="15.75" customHeight="1">
      <c r="A569" s="697" t="s">
        <v>155</v>
      </c>
      <c r="B569" s="527" t="s">
        <v>161</v>
      </c>
      <c r="C569" s="537" t="s">
        <v>1570</v>
      </c>
      <c r="D569" s="564"/>
      <c r="E569" s="530"/>
      <c r="F569" s="530"/>
      <c r="G569" s="530"/>
      <c r="H569" s="530"/>
      <c r="I569" s="513"/>
      <c r="J569" s="514"/>
      <c r="K569" s="514"/>
      <c r="L569" s="514"/>
      <c r="M569" s="514"/>
      <c r="N569" s="514"/>
      <c r="O569" s="514"/>
      <c r="P569" s="514"/>
      <c r="Q569" s="514"/>
      <c r="R569" s="515"/>
      <c r="S569" s="515"/>
      <c r="T569" s="515"/>
      <c r="U569" s="515"/>
      <c r="V569" s="515"/>
      <c r="W569" s="515"/>
      <c r="X569" s="515"/>
      <c r="Y569" s="515"/>
    </row>
    <row r="570" spans="1:25" ht="62.5" customHeight="1">
      <c r="A570" s="697"/>
      <c r="B570" s="527"/>
      <c r="C570" s="527" t="s">
        <v>364</v>
      </c>
      <c r="D570" s="564"/>
      <c r="E570" s="530"/>
      <c r="F570" s="530"/>
      <c r="G570" s="530"/>
      <c r="H570" s="530"/>
      <c r="I570" s="513"/>
      <c r="J570" s="514"/>
      <c r="K570" s="514"/>
      <c r="L570" s="514"/>
      <c r="M570" s="514"/>
      <c r="N570" s="514"/>
      <c r="O570" s="514"/>
      <c r="P570" s="514"/>
      <c r="Q570" s="514"/>
      <c r="R570" s="515"/>
      <c r="S570" s="515"/>
      <c r="T570" s="515"/>
      <c r="U570" s="515"/>
      <c r="V570" s="515"/>
      <c r="W570" s="515"/>
      <c r="X570" s="515"/>
      <c r="Y570" s="515"/>
    </row>
    <row r="571" spans="1:25" ht="15.75" customHeight="1">
      <c r="A571" s="697"/>
      <c r="B571" s="527"/>
      <c r="C571" s="537" t="s">
        <v>38</v>
      </c>
      <c r="D571" s="564"/>
      <c r="E571" s="530"/>
      <c r="F571" s="530"/>
      <c r="G571" s="530"/>
      <c r="H571" s="530"/>
      <c r="I571" s="513"/>
      <c r="J571" s="514"/>
      <c r="K571" s="514"/>
      <c r="L571" s="514"/>
      <c r="M571" s="514"/>
      <c r="N571" s="514"/>
      <c r="O571" s="514"/>
      <c r="P571" s="514"/>
      <c r="Q571" s="514"/>
      <c r="R571" s="515"/>
      <c r="S571" s="515"/>
      <c r="T571" s="515"/>
      <c r="U571" s="515"/>
      <c r="V571" s="515"/>
      <c r="W571" s="515"/>
      <c r="X571" s="515"/>
      <c r="Y571" s="515"/>
    </row>
    <row r="572" spans="1:25" ht="39.25" customHeight="1">
      <c r="A572" s="697"/>
      <c r="B572" s="527"/>
      <c r="C572" s="527" t="s">
        <v>365</v>
      </c>
      <c r="D572" s="564"/>
      <c r="E572" s="530"/>
      <c r="F572" s="530"/>
      <c r="G572" s="530"/>
      <c r="H572" s="530"/>
      <c r="I572" s="513"/>
      <c r="J572" s="514"/>
      <c r="K572" s="514"/>
      <c r="L572" s="514"/>
      <c r="M572" s="514"/>
      <c r="N572" s="514"/>
      <c r="O572" s="514"/>
      <c r="P572" s="514"/>
      <c r="Q572" s="514"/>
      <c r="R572" s="515"/>
      <c r="S572" s="515"/>
      <c r="T572" s="515"/>
      <c r="U572" s="515"/>
      <c r="V572" s="515"/>
      <c r="W572" s="515"/>
      <c r="X572" s="515"/>
      <c r="Y572" s="515"/>
    </row>
    <row r="573" spans="1:25" ht="15.75" customHeight="1">
      <c r="A573" s="697"/>
      <c r="B573" s="527"/>
      <c r="C573" s="553" t="s">
        <v>47</v>
      </c>
      <c r="D573" s="564"/>
      <c r="E573" s="530"/>
      <c r="F573" s="530"/>
      <c r="G573" s="530"/>
      <c r="H573" s="530"/>
      <c r="I573" s="513"/>
      <c r="J573" s="514"/>
      <c r="K573" s="514"/>
      <c r="L573" s="514"/>
      <c r="M573" s="514"/>
      <c r="N573" s="514"/>
      <c r="O573" s="514"/>
      <c r="P573" s="514"/>
      <c r="Q573" s="514"/>
      <c r="R573" s="515"/>
      <c r="S573" s="515"/>
      <c r="T573" s="515"/>
      <c r="U573" s="515"/>
      <c r="V573" s="515"/>
      <c r="W573" s="515"/>
      <c r="X573" s="515"/>
      <c r="Y573" s="515"/>
    </row>
    <row r="574" spans="1:25" ht="15.75" customHeight="1">
      <c r="A574" s="718"/>
      <c r="B574" s="533"/>
      <c r="C574" s="494" t="s">
        <v>73</v>
      </c>
      <c r="D574" s="568"/>
      <c r="E574" s="535"/>
      <c r="F574" s="535"/>
      <c r="G574" s="535"/>
      <c r="H574" s="535"/>
      <c r="I574" s="513"/>
      <c r="J574" s="514"/>
      <c r="K574" s="514"/>
      <c r="L574" s="514"/>
      <c r="M574" s="514"/>
      <c r="N574" s="514"/>
      <c r="O574" s="514"/>
      <c r="P574" s="514"/>
      <c r="Q574" s="514"/>
      <c r="R574" s="515"/>
      <c r="S574" s="515"/>
      <c r="T574" s="515"/>
      <c r="U574" s="515"/>
      <c r="V574" s="515"/>
      <c r="W574" s="515"/>
      <c r="X574" s="515"/>
      <c r="Y574" s="515"/>
    </row>
    <row r="575" spans="1:25" ht="15.75" customHeight="1">
      <c r="A575" s="697" t="s">
        <v>366</v>
      </c>
      <c r="B575" s="577" t="s">
        <v>367</v>
      </c>
      <c r="C575" s="554" t="s">
        <v>368</v>
      </c>
      <c r="D575" s="578"/>
      <c r="E575" s="580" t="s">
        <v>369</v>
      </c>
      <c r="F575" s="579">
        <v>3</v>
      </c>
      <c r="G575" s="580"/>
      <c r="H575" s="580"/>
      <c r="I575" s="513"/>
      <c r="J575" s="514"/>
      <c r="K575" s="514"/>
      <c r="L575" s="514"/>
      <c r="M575" s="514"/>
      <c r="N575" s="514"/>
      <c r="O575" s="514"/>
      <c r="P575" s="514"/>
      <c r="Q575" s="514"/>
      <c r="R575" s="515"/>
      <c r="S575" s="515"/>
      <c r="T575" s="515"/>
      <c r="U575" s="515"/>
      <c r="V575" s="515"/>
      <c r="W575" s="515"/>
      <c r="X575" s="515"/>
      <c r="Y575" s="515"/>
    </row>
    <row r="576" spans="1:25" ht="26">
      <c r="A576" s="697"/>
      <c r="B576" s="577" t="s">
        <v>370</v>
      </c>
      <c r="C576" s="499" t="s">
        <v>371</v>
      </c>
      <c r="D576" s="578"/>
      <c r="E576" s="580" t="s">
        <v>369</v>
      </c>
      <c r="F576" s="579">
        <v>3</v>
      </c>
      <c r="G576" s="580"/>
      <c r="H576" s="580"/>
      <c r="I576" s="513"/>
      <c r="J576" s="514"/>
      <c r="K576" s="514"/>
      <c r="L576" s="514"/>
      <c r="M576" s="514"/>
      <c r="N576" s="514"/>
      <c r="O576" s="514"/>
      <c r="P576" s="514"/>
      <c r="Q576" s="514"/>
      <c r="R576" s="515"/>
      <c r="S576" s="515"/>
      <c r="T576" s="515"/>
      <c r="U576" s="515"/>
      <c r="V576" s="515"/>
      <c r="W576" s="515"/>
      <c r="X576" s="515"/>
      <c r="Y576" s="515"/>
    </row>
    <row r="577" spans="1:25" ht="15.75" customHeight="1">
      <c r="A577" s="697"/>
      <c r="B577" s="527" t="s">
        <v>372</v>
      </c>
      <c r="C577" s="528" t="s">
        <v>53</v>
      </c>
      <c r="D577" s="564"/>
      <c r="E577" s="530"/>
      <c r="F577" s="530"/>
      <c r="G577" s="530"/>
      <c r="H577" s="530"/>
      <c r="I577" s="513"/>
      <c r="J577" s="514"/>
      <c r="K577" s="514"/>
      <c r="L577" s="514"/>
      <c r="M577" s="514"/>
      <c r="N577" s="514"/>
      <c r="O577" s="514"/>
      <c r="P577" s="514"/>
      <c r="Q577" s="514"/>
      <c r="R577" s="515"/>
      <c r="S577" s="515"/>
      <c r="T577" s="515"/>
      <c r="U577" s="515"/>
      <c r="V577" s="515"/>
      <c r="W577" s="515"/>
      <c r="X577" s="515"/>
      <c r="Y577" s="515"/>
    </row>
    <row r="578" spans="1:25" ht="15.75" customHeight="1">
      <c r="A578" s="717" t="s">
        <v>373</v>
      </c>
      <c r="B578" s="717"/>
      <c r="C578" s="717"/>
      <c r="D578" s="717"/>
      <c r="E578" s="566"/>
      <c r="F578" s="566"/>
      <c r="G578" s="566"/>
      <c r="H578" s="566"/>
      <c r="I578" s="513"/>
      <c r="J578" s="514"/>
      <c r="K578" s="514"/>
      <c r="L578" s="514"/>
      <c r="M578" s="514"/>
      <c r="N578" s="514"/>
      <c r="O578" s="514"/>
      <c r="P578" s="514"/>
      <c r="Q578" s="514"/>
      <c r="R578" s="515"/>
      <c r="S578" s="515"/>
      <c r="T578" s="515"/>
      <c r="U578" s="515"/>
      <c r="V578" s="515"/>
      <c r="W578" s="515"/>
      <c r="X578" s="515"/>
      <c r="Y578" s="515"/>
    </row>
    <row r="579" spans="1:25" ht="15.75" customHeight="1">
      <c r="A579" s="697" t="s">
        <v>155</v>
      </c>
      <c r="B579" s="527" t="s">
        <v>161</v>
      </c>
      <c r="C579" s="537" t="s">
        <v>1570</v>
      </c>
      <c r="D579" s="564"/>
      <c r="E579" s="530"/>
      <c r="F579" s="530"/>
      <c r="G579" s="530"/>
      <c r="H579" s="530"/>
      <c r="I579" s="513"/>
      <c r="J579" s="514"/>
      <c r="K579" s="514"/>
      <c r="L579" s="514"/>
      <c r="M579" s="514"/>
      <c r="N579" s="514"/>
      <c r="O579" s="514"/>
      <c r="P579" s="514"/>
      <c r="Q579" s="514"/>
      <c r="R579" s="515"/>
      <c r="S579" s="515"/>
      <c r="T579" s="515"/>
      <c r="U579" s="515"/>
      <c r="V579" s="515"/>
      <c r="W579" s="515"/>
      <c r="X579" s="515"/>
      <c r="Y579" s="515"/>
    </row>
    <row r="580" spans="1:25" ht="15.75" customHeight="1">
      <c r="A580" s="697"/>
      <c r="B580" s="527"/>
      <c r="C580" s="527" t="s">
        <v>52</v>
      </c>
      <c r="D580" s="564"/>
      <c r="E580" s="530"/>
      <c r="F580" s="530"/>
      <c r="G580" s="530"/>
      <c r="H580" s="530"/>
      <c r="I580" s="513"/>
      <c r="J580" s="514"/>
      <c r="K580" s="514"/>
      <c r="L580" s="514"/>
      <c r="M580" s="514"/>
      <c r="N580" s="514"/>
      <c r="O580" s="514"/>
      <c r="P580" s="514"/>
      <c r="Q580" s="514"/>
      <c r="R580" s="515"/>
      <c r="S580" s="515"/>
      <c r="T580" s="515"/>
      <c r="U580" s="515"/>
      <c r="V580" s="515"/>
      <c r="W580" s="515"/>
      <c r="X580" s="515"/>
      <c r="Y580" s="515"/>
    </row>
    <row r="581" spans="1:25" ht="15.75" customHeight="1">
      <c r="A581" s="697"/>
      <c r="B581" s="527"/>
      <c r="C581" s="537" t="s">
        <v>38</v>
      </c>
      <c r="D581" s="564"/>
      <c r="E581" s="530"/>
      <c r="F581" s="530"/>
      <c r="G581" s="530"/>
      <c r="H581" s="530"/>
      <c r="I581" s="513"/>
      <c r="J581" s="514"/>
      <c r="K581" s="514"/>
      <c r="L581" s="514"/>
      <c r="M581" s="514"/>
      <c r="N581" s="514"/>
      <c r="O581" s="514"/>
      <c r="P581" s="514"/>
      <c r="Q581" s="514"/>
      <c r="R581" s="515"/>
      <c r="S581" s="515"/>
      <c r="T581" s="515"/>
      <c r="U581" s="515"/>
      <c r="V581" s="515"/>
      <c r="W581" s="515"/>
      <c r="X581" s="515"/>
      <c r="Y581" s="515"/>
    </row>
    <row r="582" spans="1:25" ht="50" customHeight="1">
      <c r="A582" s="697"/>
      <c r="B582" s="527"/>
      <c r="C582" s="527" t="s">
        <v>374</v>
      </c>
      <c r="D582" s="564"/>
      <c r="E582" s="530"/>
      <c r="F582" s="530"/>
      <c r="G582" s="530"/>
      <c r="H582" s="530"/>
      <c r="I582" s="513"/>
      <c r="J582" s="514"/>
      <c r="K582" s="514"/>
      <c r="L582" s="514"/>
      <c r="M582" s="514"/>
      <c r="N582" s="514"/>
      <c r="O582" s="514"/>
      <c r="P582" s="514"/>
      <c r="Q582" s="514"/>
      <c r="R582" s="515"/>
      <c r="S582" s="515"/>
      <c r="T582" s="515"/>
      <c r="U582" s="515"/>
      <c r="V582" s="515"/>
      <c r="W582" s="515"/>
      <c r="X582" s="515"/>
      <c r="Y582" s="515"/>
    </row>
    <row r="583" spans="1:25" ht="15.75" customHeight="1">
      <c r="A583" s="697"/>
      <c r="B583" s="527"/>
      <c r="C583" s="553" t="s">
        <v>47</v>
      </c>
      <c r="D583" s="564"/>
      <c r="E583" s="530"/>
      <c r="F583" s="530"/>
      <c r="G583" s="530"/>
      <c r="H583" s="530"/>
      <c r="I583" s="513"/>
      <c r="J583" s="514"/>
      <c r="K583" s="514"/>
      <c r="L583" s="514"/>
      <c r="M583" s="514"/>
      <c r="N583" s="514"/>
      <c r="O583" s="514"/>
      <c r="P583" s="514"/>
      <c r="Q583" s="514"/>
      <c r="R583" s="515"/>
      <c r="S583" s="515"/>
      <c r="T583" s="515"/>
      <c r="U583" s="515"/>
      <c r="V583" s="515"/>
      <c r="W583" s="515"/>
      <c r="X583" s="515"/>
      <c r="Y583" s="515"/>
    </row>
    <row r="584" spans="1:25" ht="15.75" customHeight="1">
      <c r="A584" s="697"/>
      <c r="B584" s="527"/>
      <c r="C584" s="495" t="s">
        <v>73</v>
      </c>
      <c r="D584" s="564"/>
      <c r="E584" s="530"/>
      <c r="F584" s="530"/>
      <c r="G584" s="530"/>
      <c r="H584" s="530"/>
      <c r="I584" s="513"/>
      <c r="J584" s="514"/>
      <c r="K584" s="514"/>
      <c r="L584" s="514"/>
      <c r="M584" s="514"/>
      <c r="N584" s="514"/>
      <c r="O584" s="514"/>
      <c r="P584" s="514"/>
      <c r="Q584" s="514"/>
      <c r="R584" s="515"/>
      <c r="S584" s="515"/>
      <c r="T584" s="515"/>
      <c r="U584" s="515"/>
      <c r="V584" s="515"/>
      <c r="W584" s="515"/>
      <c r="X584" s="515"/>
      <c r="Y584" s="515"/>
    </row>
    <row r="585" spans="1:25" ht="15.75" customHeight="1">
      <c r="A585" s="697"/>
      <c r="B585" s="527"/>
      <c r="C585" s="527" t="s">
        <v>375</v>
      </c>
      <c r="D585" s="564"/>
      <c r="E585" s="530"/>
      <c r="F585" s="530"/>
      <c r="G585" s="530"/>
      <c r="H585" s="530"/>
      <c r="I585" s="513"/>
      <c r="J585" s="514"/>
      <c r="K585" s="514"/>
      <c r="L585" s="514"/>
      <c r="M585" s="514"/>
      <c r="N585" s="514"/>
      <c r="O585" s="514"/>
      <c r="P585" s="514"/>
      <c r="Q585" s="514"/>
      <c r="R585" s="515"/>
      <c r="S585" s="515"/>
      <c r="T585" s="515"/>
      <c r="U585" s="515"/>
      <c r="V585" s="515"/>
      <c r="W585" s="515"/>
      <c r="X585" s="515"/>
      <c r="Y585" s="515"/>
    </row>
    <row r="586" spans="1:25" ht="15.75" customHeight="1">
      <c r="A586" s="718"/>
      <c r="B586" s="533"/>
      <c r="C586" s="494" t="s">
        <v>135</v>
      </c>
      <c r="D586" s="568"/>
      <c r="E586" s="535"/>
      <c r="F586" s="535"/>
      <c r="G586" s="535"/>
      <c r="H586" s="535"/>
      <c r="I586" s="513"/>
      <c r="J586" s="514"/>
      <c r="K586" s="514"/>
      <c r="L586" s="514"/>
      <c r="M586" s="514"/>
      <c r="N586" s="514"/>
      <c r="O586" s="514"/>
      <c r="P586" s="514"/>
      <c r="Q586" s="514"/>
      <c r="R586" s="515"/>
      <c r="S586" s="515"/>
      <c r="T586" s="515"/>
      <c r="U586" s="515"/>
      <c r="V586" s="515"/>
      <c r="W586" s="515"/>
      <c r="X586" s="515"/>
      <c r="Y586" s="515"/>
    </row>
    <row r="587" spans="1:25" ht="26">
      <c r="A587" s="526" t="s">
        <v>376</v>
      </c>
      <c r="B587" s="527" t="s">
        <v>377</v>
      </c>
      <c r="C587" s="528" t="s">
        <v>53</v>
      </c>
      <c r="D587" s="564"/>
      <c r="E587" s="530"/>
      <c r="F587" s="530"/>
      <c r="G587" s="530"/>
      <c r="H587" s="530"/>
      <c r="I587" s="513"/>
      <c r="J587" s="514"/>
      <c r="K587" s="514"/>
      <c r="L587" s="514"/>
      <c r="M587" s="514"/>
      <c r="N587" s="514"/>
      <c r="O587" s="514"/>
      <c r="P587" s="514"/>
      <c r="Q587" s="514"/>
      <c r="R587" s="515"/>
      <c r="S587" s="515"/>
      <c r="T587" s="515"/>
      <c r="U587" s="515"/>
      <c r="V587" s="515"/>
      <c r="W587" s="515"/>
      <c r="X587" s="515"/>
      <c r="Y587" s="515"/>
    </row>
    <row r="588" spans="1:25" ht="26">
      <c r="A588" s="526" t="s">
        <v>378</v>
      </c>
      <c r="B588" s="527" t="s">
        <v>379</v>
      </c>
      <c r="C588" s="528"/>
      <c r="D588" s="564"/>
      <c r="E588" s="541">
        <v>3</v>
      </c>
      <c r="F588" s="541">
        <v>3</v>
      </c>
      <c r="G588" s="530" t="s">
        <v>380</v>
      </c>
      <c r="H588" s="530"/>
      <c r="I588" s="513"/>
      <c r="J588" s="514"/>
      <c r="K588" s="514"/>
      <c r="L588" s="514"/>
      <c r="M588" s="514"/>
      <c r="N588" s="514"/>
      <c r="O588" s="514"/>
      <c r="P588" s="514"/>
      <c r="Q588" s="514"/>
      <c r="R588" s="515"/>
      <c r="S588" s="515"/>
      <c r="T588" s="515"/>
      <c r="U588" s="515"/>
      <c r="V588" s="515"/>
      <c r="W588" s="515"/>
      <c r="X588" s="515"/>
      <c r="Y588" s="515"/>
    </row>
    <row r="589" spans="1:25" ht="15.75" customHeight="1">
      <c r="A589" s="717" t="s">
        <v>381</v>
      </c>
      <c r="B589" s="717"/>
      <c r="C589" s="717"/>
      <c r="D589" s="717"/>
      <c r="E589" s="719"/>
      <c r="F589" s="719"/>
      <c r="G589" s="719"/>
      <c r="H589" s="719"/>
      <c r="I589" s="513"/>
      <c r="J589" s="514"/>
      <c r="K589" s="514"/>
      <c r="L589" s="514"/>
      <c r="M589" s="514"/>
      <c r="N589" s="514"/>
      <c r="O589" s="514"/>
      <c r="P589" s="514"/>
      <c r="Q589" s="514"/>
      <c r="R589" s="515"/>
      <c r="S589" s="515"/>
      <c r="T589" s="515"/>
      <c r="U589" s="515"/>
      <c r="V589" s="515"/>
      <c r="W589" s="515"/>
      <c r="X589" s="515"/>
      <c r="Y589" s="515"/>
    </row>
    <row r="590" spans="1:25" ht="15.75" customHeight="1">
      <c r="A590" s="697" t="s">
        <v>155</v>
      </c>
      <c r="B590" s="527" t="s">
        <v>161</v>
      </c>
      <c r="C590" s="537" t="s">
        <v>26</v>
      </c>
      <c r="D590" s="564"/>
      <c r="E590" s="530"/>
      <c r="F590" s="530" t="s">
        <v>382</v>
      </c>
      <c r="G590" s="530"/>
      <c r="H590" s="530"/>
      <c r="I590" s="513"/>
      <c r="J590" s="514"/>
      <c r="K590" s="514"/>
      <c r="L590" s="514"/>
      <c r="M590" s="514"/>
      <c r="N590" s="514"/>
      <c r="O590" s="514"/>
      <c r="P590" s="514"/>
      <c r="Q590" s="514"/>
      <c r="R590" s="515"/>
      <c r="S590" s="515"/>
      <c r="T590" s="515"/>
      <c r="U590" s="515"/>
      <c r="V590" s="515"/>
      <c r="W590" s="515"/>
      <c r="X590" s="515"/>
      <c r="Y590" s="515"/>
    </row>
    <row r="591" spans="1:25" ht="50" customHeight="1">
      <c r="A591" s="697"/>
      <c r="B591" s="527"/>
      <c r="C591" s="519" t="s">
        <v>383</v>
      </c>
      <c r="D591" s="564"/>
      <c r="E591" s="530"/>
      <c r="F591" s="530"/>
      <c r="G591" s="530"/>
      <c r="H591" s="530"/>
      <c r="I591" s="513"/>
      <c r="J591" s="514"/>
      <c r="K591" s="514"/>
      <c r="L591" s="514"/>
      <c r="M591" s="514"/>
      <c r="N591" s="514"/>
      <c r="O591" s="514"/>
      <c r="P591" s="514"/>
      <c r="Q591" s="514"/>
      <c r="R591" s="515"/>
      <c r="S591" s="515"/>
      <c r="T591" s="515"/>
      <c r="U591" s="515"/>
      <c r="V591" s="515"/>
      <c r="W591" s="515"/>
      <c r="X591" s="515"/>
      <c r="Y591" s="515"/>
    </row>
    <row r="592" spans="1:25" ht="13" customHeight="1">
      <c r="A592" s="697"/>
      <c r="B592" s="527"/>
      <c r="C592" s="537" t="s">
        <v>38</v>
      </c>
      <c r="D592" s="564"/>
      <c r="E592" s="530"/>
      <c r="F592" s="530"/>
      <c r="G592" s="530"/>
      <c r="H592" s="530"/>
      <c r="I592" s="513"/>
      <c r="J592" s="514"/>
      <c r="K592" s="514"/>
      <c r="L592" s="514"/>
      <c r="M592" s="514"/>
      <c r="N592" s="514"/>
      <c r="O592" s="514"/>
      <c r="P592" s="514"/>
      <c r="Q592" s="514"/>
      <c r="R592" s="515"/>
      <c r="S592" s="515"/>
      <c r="T592" s="515"/>
      <c r="U592" s="515"/>
      <c r="V592" s="515"/>
      <c r="W592" s="515"/>
      <c r="X592" s="515"/>
      <c r="Y592" s="515"/>
    </row>
    <row r="593" spans="1:25" ht="39.25" customHeight="1">
      <c r="A593" s="697"/>
      <c r="B593" s="527"/>
      <c r="C593" s="519" t="s">
        <v>384</v>
      </c>
      <c r="D593" s="564"/>
      <c r="E593" s="530"/>
      <c r="F593" s="530"/>
      <c r="G593" s="530"/>
      <c r="H593" s="530"/>
      <c r="I593" s="513"/>
      <c r="J593" s="514"/>
      <c r="K593" s="514"/>
      <c r="L593" s="514"/>
      <c r="M593" s="514"/>
      <c r="N593" s="514"/>
      <c r="O593" s="514"/>
      <c r="P593" s="514"/>
      <c r="Q593" s="514"/>
      <c r="R593" s="515"/>
      <c r="S593" s="515"/>
      <c r="T593" s="515"/>
      <c r="U593" s="515"/>
      <c r="V593" s="515"/>
      <c r="W593" s="515"/>
      <c r="X593" s="515"/>
      <c r="Y593" s="515"/>
    </row>
    <row r="594" spans="1:25" ht="15.75" customHeight="1">
      <c r="A594" s="697"/>
      <c r="B594" s="527"/>
      <c r="C594" s="520" t="s">
        <v>47</v>
      </c>
      <c r="D594" s="564"/>
      <c r="E594" s="530"/>
      <c r="F594" s="530"/>
      <c r="G594" s="530"/>
      <c r="H594" s="530"/>
      <c r="I594" s="513"/>
      <c r="J594" s="514"/>
      <c r="K594" s="514"/>
      <c r="L594" s="514"/>
      <c r="M594" s="514"/>
      <c r="N594" s="514"/>
      <c r="O594" s="514"/>
      <c r="P594" s="514"/>
      <c r="Q594" s="514"/>
      <c r="R594" s="515"/>
      <c r="S594" s="515"/>
      <c r="T594" s="515"/>
      <c r="U594" s="515"/>
      <c r="V594" s="515"/>
      <c r="W594" s="515"/>
      <c r="X594" s="515"/>
      <c r="Y594" s="515"/>
    </row>
    <row r="595" spans="1:25" ht="15.75" customHeight="1">
      <c r="A595" s="697"/>
      <c r="B595" s="527"/>
      <c r="C595" s="496" t="s">
        <v>73</v>
      </c>
      <c r="D595" s="564"/>
      <c r="E595" s="530"/>
      <c r="F595" s="530"/>
      <c r="G595" s="530"/>
      <c r="H595" s="530"/>
      <c r="I595" s="513"/>
      <c r="J595" s="514"/>
      <c r="K595" s="514"/>
      <c r="L595" s="514"/>
      <c r="M595" s="514"/>
      <c r="N595" s="514"/>
      <c r="O595" s="514"/>
      <c r="P595" s="514"/>
      <c r="Q595" s="514"/>
      <c r="R595" s="515"/>
      <c r="S595" s="515"/>
      <c r="T595" s="515"/>
      <c r="U595" s="515"/>
      <c r="V595" s="515"/>
      <c r="W595" s="515"/>
      <c r="X595" s="515"/>
      <c r="Y595" s="515"/>
    </row>
    <row r="596" spans="1:25" ht="15.75" customHeight="1">
      <c r="A596" s="718"/>
      <c r="B596" s="533"/>
      <c r="C596" s="497" t="s">
        <v>135</v>
      </c>
      <c r="D596" s="568"/>
      <c r="E596" s="535"/>
      <c r="F596" s="535"/>
      <c r="G596" s="535"/>
      <c r="H596" s="535"/>
      <c r="I596" s="513"/>
      <c r="J596" s="514"/>
      <c r="K596" s="514"/>
      <c r="L596" s="514"/>
      <c r="M596" s="514"/>
      <c r="N596" s="514"/>
      <c r="O596" s="514"/>
      <c r="P596" s="514"/>
      <c r="Q596" s="514"/>
      <c r="R596" s="515"/>
      <c r="S596" s="515"/>
      <c r="T596" s="515"/>
      <c r="U596" s="515"/>
      <c r="V596" s="515"/>
      <c r="W596" s="515"/>
      <c r="X596" s="515"/>
      <c r="Y596" s="515"/>
    </row>
    <row r="597" spans="1:25">
      <c r="A597" s="697" t="s">
        <v>385</v>
      </c>
      <c r="B597" s="527" t="s">
        <v>386</v>
      </c>
      <c r="C597" s="537" t="s">
        <v>1570</v>
      </c>
      <c r="D597" s="564"/>
      <c r="E597" s="530"/>
      <c r="F597" s="530" t="s">
        <v>387</v>
      </c>
      <c r="G597" s="530"/>
      <c r="H597" s="530"/>
      <c r="I597" s="513"/>
      <c r="J597" s="514"/>
      <c r="K597" s="514"/>
      <c r="L597" s="514"/>
      <c r="M597" s="514"/>
      <c r="N597" s="514"/>
      <c r="O597" s="514"/>
      <c r="P597" s="514"/>
      <c r="Q597" s="514"/>
      <c r="R597" s="515"/>
      <c r="S597" s="515"/>
      <c r="T597" s="515"/>
      <c r="U597" s="515"/>
      <c r="V597" s="515"/>
      <c r="W597" s="515"/>
      <c r="X597" s="515"/>
      <c r="Y597" s="515"/>
    </row>
    <row r="598" spans="1:25" ht="26.75" customHeight="1">
      <c r="A598" s="697"/>
      <c r="B598" s="527" t="s">
        <v>388</v>
      </c>
      <c r="C598" s="517" t="s">
        <v>389</v>
      </c>
      <c r="D598" s="564"/>
      <c r="E598" s="530"/>
      <c r="F598" s="530" t="s">
        <v>387</v>
      </c>
      <c r="G598" s="530"/>
      <c r="H598" s="530"/>
      <c r="I598" s="513"/>
      <c r="J598" s="514"/>
      <c r="K598" s="514"/>
      <c r="L598" s="514"/>
      <c r="M598" s="514"/>
      <c r="N598" s="514"/>
      <c r="O598" s="514"/>
      <c r="P598" s="514"/>
      <c r="Q598" s="514"/>
      <c r="R598" s="515"/>
      <c r="S598" s="515"/>
      <c r="T598" s="515"/>
      <c r="U598" s="515"/>
      <c r="V598" s="515"/>
      <c r="W598" s="515"/>
      <c r="X598" s="515"/>
      <c r="Y598" s="515"/>
    </row>
    <row r="599" spans="1:25" ht="15.75" customHeight="1">
      <c r="A599" s="697"/>
      <c r="B599" s="527" t="s">
        <v>390</v>
      </c>
      <c r="C599" s="537" t="s">
        <v>1574</v>
      </c>
      <c r="D599" s="564"/>
      <c r="E599" s="530"/>
      <c r="F599" s="530" t="s">
        <v>387</v>
      </c>
      <c r="G599" s="530"/>
      <c r="H599" s="530"/>
      <c r="I599" s="513"/>
      <c r="J599" s="514"/>
      <c r="K599" s="514"/>
      <c r="L599" s="514"/>
      <c r="M599" s="514"/>
      <c r="N599" s="514"/>
      <c r="O599" s="514"/>
      <c r="P599" s="514"/>
      <c r="Q599" s="514"/>
      <c r="R599" s="515"/>
      <c r="S599" s="515"/>
      <c r="T599" s="515"/>
      <c r="U599" s="515"/>
      <c r="V599" s="515"/>
      <c r="W599" s="515"/>
      <c r="X599" s="515"/>
      <c r="Y599" s="515"/>
    </row>
    <row r="600" spans="1:25" ht="26">
      <c r="A600" s="697"/>
      <c r="B600" s="527" t="s">
        <v>391</v>
      </c>
      <c r="C600" s="517" t="s">
        <v>1609</v>
      </c>
      <c r="D600" s="564"/>
      <c r="E600" s="530"/>
      <c r="F600" s="530" t="s">
        <v>387</v>
      </c>
      <c r="G600" s="530"/>
      <c r="H600" s="530"/>
      <c r="I600" s="513"/>
      <c r="J600" s="514"/>
      <c r="K600" s="514"/>
      <c r="L600" s="514"/>
      <c r="M600" s="514"/>
      <c r="N600" s="514"/>
      <c r="O600" s="514"/>
      <c r="P600" s="514"/>
      <c r="Q600" s="514"/>
      <c r="R600" s="515"/>
      <c r="S600" s="515"/>
      <c r="T600" s="515"/>
      <c r="U600" s="515"/>
      <c r="V600" s="515"/>
      <c r="W600" s="515"/>
      <c r="X600" s="515"/>
      <c r="Y600" s="515"/>
    </row>
    <row r="601" spans="1:25" ht="26.75" customHeight="1">
      <c r="A601" s="697"/>
      <c r="B601" s="527" t="s">
        <v>392</v>
      </c>
      <c r="C601" s="553" t="s">
        <v>1610</v>
      </c>
      <c r="D601" s="564"/>
      <c r="E601" s="530"/>
      <c r="F601" s="541">
        <v>5</v>
      </c>
      <c r="G601" s="530" t="s">
        <v>393</v>
      </c>
      <c r="H601" s="530"/>
      <c r="I601" s="513"/>
      <c r="J601" s="514"/>
      <c r="K601" s="514"/>
      <c r="L601" s="514"/>
      <c r="M601" s="514"/>
      <c r="N601" s="514"/>
      <c r="O601" s="514"/>
      <c r="P601" s="514"/>
      <c r="Q601" s="514"/>
      <c r="R601" s="515"/>
      <c r="S601" s="515"/>
      <c r="T601" s="515"/>
      <c r="U601" s="515"/>
      <c r="V601" s="515"/>
      <c r="W601" s="515"/>
      <c r="X601" s="515"/>
      <c r="Y601" s="515"/>
    </row>
    <row r="602" spans="1:25" ht="15.75" customHeight="1">
      <c r="A602" s="697"/>
      <c r="B602" s="527" t="s">
        <v>394</v>
      </c>
      <c r="C602" s="492" t="s">
        <v>73</v>
      </c>
      <c r="D602" s="564"/>
      <c r="E602" s="530"/>
      <c r="F602" s="530"/>
      <c r="G602" s="530"/>
      <c r="H602" s="530"/>
      <c r="I602" s="513"/>
      <c r="J602" s="514"/>
      <c r="K602" s="514"/>
      <c r="L602" s="514"/>
      <c r="M602" s="514"/>
      <c r="N602" s="514"/>
      <c r="O602" s="514"/>
      <c r="P602" s="514"/>
      <c r="Q602" s="514"/>
      <c r="R602" s="515"/>
      <c r="S602" s="515"/>
      <c r="T602" s="515"/>
      <c r="U602" s="515"/>
      <c r="V602" s="515"/>
      <c r="W602" s="515"/>
      <c r="X602" s="515"/>
      <c r="Y602" s="515"/>
    </row>
    <row r="603" spans="1:25" ht="26">
      <c r="A603" s="697"/>
      <c r="B603" s="527" t="s">
        <v>395</v>
      </c>
      <c r="C603" s="1"/>
      <c r="D603" s="564"/>
      <c r="E603" s="530"/>
      <c r="F603" s="541">
        <v>5</v>
      </c>
      <c r="G603" s="530"/>
      <c r="H603" s="530"/>
      <c r="I603" s="513"/>
      <c r="J603" s="514"/>
      <c r="K603" s="514"/>
      <c r="L603" s="514"/>
      <c r="M603" s="514"/>
      <c r="N603" s="514"/>
      <c r="O603" s="514"/>
      <c r="P603" s="514"/>
      <c r="Q603" s="514"/>
      <c r="R603" s="515"/>
      <c r="S603" s="515"/>
      <c r="T603" s="515"/>
      <c r="U603" s="515"/>
      <c r="V603" s="515"/>
      <c r="W603" s="515"/>
      <c r="X603" s="515"/>
      <c r="Y603" s="515"/>
    </row>
    <row r="604" spans="1:25" ht="26.75" customHeight="1">
      <c r="A604" s="697"/>
      <c r="B604" s="533" t="s">
        <v>396</v>
      </c>
      <c r="C604" s="500"/>
      <c r="D604" s="568"/>
      <c r="E604" s="535"/>
      <c r="F604" s="535"/>
      <c r="G604" s="535"/>
      <c r="H604" s="535"/>
      <c r="I604" s="513"/>
      <c r="J604" s="514"/>
      <c r="K604" s="514"/>
      <c r="L604" s="514"/>
      <c r="M604" s="514"/>
      <c r="N604" s="514"/>
      <c r="O604" s="514"/>
      <c r="P604" s="514"/>
      <c r="Q604" s="514"/>
      <c r="R604" s="515"/>
      <c r="S604" s="515"/>
      <c r="T604" s="515"/>
      <c r="U604" s="515"/>
      <c r="V604" s="515"/>
      <c r="W604" s="515"/>
      <c r="X604" s="515"/>
      <c r="Y604" s="515"/>
    </row>
    <row r="605" spans="1:25" ht="15.75" customHeight="1">
      <c r="A605" s="697"/>
      <c r="B605" s="700" t="s">
        <v>397</v>
      </c>
      <c r="C605" s="537" t="s">
        <v>1570</v>
      </c>
      <c r="D605" s="570"/>
      <c r="E605" s="539"/>
      <c r="F605" s="540">
        <v>5</v>
      </c>
      <c r="G605" s="539" t="s">
        <v>393</v>
      </c>
      <c r="H605" s="539"/>
      <c r="I605" s="513"/>
      <c r="J605" s="514"/>
      <c r="K605" s="514"/>
      <c r="L605" s="514"/>
      <c r="M605" s="514"/>
      <c r="N605" s="514"/>
      <c r="O605" s="514"/>
      <c r="P605" s="514"/>
      <c r="Q605" s="514"/>
      <c r="R605" s="515"/>
      <c r="S605" s="515"/>
      <c r="T605" s="515"/>
      <c r="U605" s="515"/>
      <c r="V605" s="515"/>
      <c r="W605" s="515"/>
      <c r="X605" s="515"/>
      <c r="Y605" s="515"/>
    </row>
    <row r="606" spans="1:25" ht="26.75" customHeight="1">
      <c r="A606" s="697"/>
      <c r="B606" s="698"/>
      <c r="C606" s="527" t="s">
        <v>398</v>
      </c>
      <c r="D606" s="564"/>
      <c r="E606" s="530"/>
      <c r="F606" s="530"/>
      <c r="G606" s="530"/>
      <c r="H606" s="530"/>
      <c r="I606" s="513"/>
      <c r="J606" s="514"/>
      <c r="K606" s="514"/>
      <c r="L606" s="514"/>
      <c r="M606" s="514"/>
      <c r="N606" s="514"/>
      <c r="O606" s="514"/>
      <c r="P606" s="514"/>
      <c r="Q606" s="514"/>
      <c r="R606" s="515"/>
      <c r="S606" s="515"/>
      <c r="T606" s="515"/>
      <c r="U606" s="515"/>
      <c r="V606" s="515"/>
      <c r="W606" s="515"/>
      <c r="X606" s="515"/>
      <c r="Y606" s="515"/>
    </row>
    <row r="607" spans="1:25" ht="15.75" customHeight="1">
      <c r="A607" s="697"/>
      <c r="B607" s="698"/>
      <c r="C607" s="537" t="s">
        <v>38</v>
      </c>
      <c r="D607" s="564"/>
      <c r="E607" s="530"/>
      <c r="F607" s="530"/>
      <c r="G607" s="530"/>
      <c r="H607" s="530"/>
      <c r="I607" s="513"/>
      <c r="J607" s="514"/>
      <c r="K607" s="514"/>
      <c r="L607" s="514"/>
      <c r="M607" s="514"/>
      <c r="N607" s="514"/>
      <c r="O607" s="514"/>
      <c r="P607" s="514"/>
      <c r="Q607" s="514"/>
      <c r="R607" s="515"/>
      <c r="S607" s="515"/>
      <c r="T607" s="515"/>
      <c r="U607" s="515"/>
      <c r="V607" s="515"/>
      <c r="W607" s="515"/>
      <c r="X607" s="515"/>
      <c r="Y607" s="515"/>
    </row>
    <row r="608" spans="1:25" ht="15.75" customHeight="1">
      <c r="A608" s="697"/>
      <c r="B608" s="698"/>
      <c r="C608" s="527" t="s">
        <v>399</v>
      </c>
      <c r="D608" s="564"/>
      <c r="E608" s="530"/>
      <c r="F608" s="530"/>
      <c r="G608" s="530"/>
      <c r="H608" s="530"/>
      <c r="I608" s="513"/>
      <c r="J608" s="514"/>
      <c r="K608" s="514"/>
      <c r="L608" s="514"/>
      <c r="M608" s="514"/>
      <c r="N608" s="514"/>
      <c r="O608" s="514"/>
      <c r="P608" s="514"/>
      <c r="Q608" s="514"/>
      <c r="R608" s="515"/>
      <c r="S608" s="515"/>
      <c r="T608" s="515"/>
      <c r="U608" s="515"/>
      <c r="V608" s="515"/>
      <c r="W608" s="515"/>
      <c r="X608" s="515"/>
      <c r="Y608" s="515"/>
    </row>
    <row r="609" spans="1:25" ht="15.75" customHeight="1">
      <c r="A609" s="697"/>
      <c r="B609" s="699"/>
      <c r="C609" s="554" t="s">
        <v>400</v>
      </c>
      <c r="D609" s="568"/>
      <c r="E609" s="535"/>
      <c r="F609" s="535"/>
      <c r="G609" s="535"/>
      <c r="H609" s="535"/>
      <c r="I609" s="513"/>
      <c r="J609" s="514"/>
      <c r="K609" s="514"/>
      <c r="L609" s="514"/>
      <c r="M609" s="514"/>
      <c r="N609" s="514"/>
      <c r="O609" s="514"/>
      <c r="P609" s="514"/>
      <c r="Q609" s="514"/>
      <c r="R609" s="515"/>
      <c r="S609" s="515"/>
      <c r="T609" s="515"/>
      <c r="U609" s="515"/>
      <c r="V609" s="515"/>
      <c r="W609" s="515"/>
      <c r="X609" s="515"/>
      <c r="Y609" s="515"/>
    </row>
    <row r="610" spans="1:25" ht="15.75" customHeight="1">
      <c r="A610" s="697"/>
      <c r="B610" s="527" t="s">
        <v>401</v>
      </c>
      <c r="C610" s="537" t="s">
        <v>1570</v>
      </c>
      <c r="D610" s="564"/>
      <c r="E610" s="530"/>
      <c r="F610" s="530"/>
      <c r="G610" s="530"/>
      <c r="H610" s="530"/>
      <c r="I610" s="513"/>
      <c r="J610" s="514"/>
      <c r="K610" s="514"/>
      <c r="L610" s="514"/>
      <c r="M610" s="514"/>
      <c r="N610" s="514"/>
      <c r="O610" s="514"/>
      <c r="P610" s="514"/>
      <c r="Q610" s="514"/>
      <c r="R610" s="515"/>
      <c r="S610" s="515"/>
      <c r="T610" s="515"/>
      <c r="U610" s="515"/>
      <c r="V610" s="515"/>
      <c r="W610" s="515"/>
      <c r="X610" s="515"/>
      <c r="Y610" s="515"/>
    </row>
    <row r="611" spans="1:25" ht="26.75" customHeight="1">
      <c r="A611" s="526"/>
      <c r="B611" s="527"/>
      <c r="C611" s="527" t="s">
        <v>398</v>
      </c>
      <c r="D611" s="564"/>
      <c r="E611" s="530"/>
      <c r="F611" s="530"/>
      <c r="G611" s="530"/>
      <c r="H611" s="530"/>
      <c r="I611" s="513"/>
      <c r="J611" s="514"/>
      <c r="K611" s="514"/>
      <c r="L611" s="514"/>
      <c r="M611" s="514"/>
      <c r="N611" s="514"/>
      <c r="O611" s="514"/>
      <c r="P611" s="514"/>
      <c r="Q611" s="514"/>
      <c r="R611" s="515"/>
      <c r="S611" s="515"/>
      <c r="T611" s="515"/>
      <c r="U611" s="515"/>
      <c r="V611" s="515"/>
      <c r="W611" s="515"/>
      <c r="X611" s="515"/>
      <c r="Y611" s="515"/>
    </row>
    <row r="612" spans="1:25" ht="13" customHeight="1">
      <c r="A612" s="526"/>
      <c r="B612" s="527"/>
      <c r="C612" s="537" t="s">
        <v>38</v>
      </c>
      <c r="D612" s="564"/>
      <c r="E612" s="530"/>
      <c r="F612" s="530"/>
      <c r="G612" s="530"/>
      <c r="H612" s="530"/>
      <c r="I612" s="513"/>
      <c r="J612" s="514"/>
      <c r="K612" s="514"/>
      <c r="L612" s="514"/>
      <c r="M612" s="514"/>
      <c r="N612" s="514"/>
      <c r="O612" s="514"/>
      <c r="P612" s="514"/>
      <c r="Q612" s="514"/>
      <c r="R612" s="515"/>
      <c r="S612" s="515"/>
      <c r="T612" s="515"/>
      <c r="U612" s="515"/>
      <c r="V612" s="515"/>
      <c r="W612" s="515"/>
      <c r="X612" s="515"/>
      <c r="Y612" s="515"/>
    </row>
    <row r="613" spans="1:25" ht="15.75" customHeight="1">
      <c r="A613" s="526"/>
      <c r="B613" s="527"/>
      <c r="C613" s="527" t="s">
        <v>399</v>
      </c>
      <c r="D613" s="564"/>
      <c r="E613" s="530"/>
      <c r="F613" s="530"/>
      <c r="G613" s="530"/>
      <c r="H613" s="530"/>
      <c r="I613" s="513"/>
      <c r="J613" s="514"/>
      <c r="K613" s="514"/>
      <c r="L613" s="514"/>
      <c r="M613" s="514"/>
      <c r="N613" s="514"/>
      <c r="O613" s="514"/>
      <c r="P613" s="514"/>
      <c r="Q613" s="514"/>
      <c r="R613" s="515"/>
      <c r="S613" s="515"/>
      <c r="T613" s="515"/>
      <c r="U613" s="515"/>
      <c r="V613" s="515"/>
      <c r="W613" s="515"/>
      <c r="X613" s="515"/>
      <c r="Y613" s="515"/>
    </row>
    <row r="614" spans="1:25" ht="15.75" customHeight="1">
      <c r="A614" s="569"/>
      <c r="B614" s="533"/>
      <c r="C614" s="554" t="s">
        <v>400</v>
      </c>
      <c r="D614" s="568"/>
      <c r="E614" s="535"/>
      <c r="F614" s="535"/>
      <c r="G614" s="535"/>
      <c r="H614" s="535"/>
      <c r="I614" s="513"/>
      <c r="J614" s="514"/>
      <c r="K614" s="514"/>
      <c r="L614" s="514"/>
      <c r="M614" s="514"/>
      <c r="N614" s="514"/>
      <c r="O614" s="514"/>
      <c r="P614" s="514"/>
      <c r="Q614" s="514"/>
      <c r="R614" s="515"/>
      <c r="S614" s="515"/>
      <c r="T614" s="515"/>
      <c r="U614" s="515"/>
      <c r="V614" s="515"/>
      <c r="W614" s="515"/>
      <c r="X614" s="515"/>
      <c r="Y614" s="515"/>
    </row>
    <row r="615" spans="1:25" ht="15.75" customHeight="1">
      <c r="A615" s="697" t="s">
        <v>402</v>
      </c>
      <c r="B615" s="527"/>
      <c r="C615" s="537" t="s">
        <v>26</v>
      </c>
      <c r="D615" s="564"/>
      <c r="E615" s="530"/>
      <c r="F615" s="530"/>
      <c r="G615" s="530"/>
      <c r="H615" s="530"/>
      <c r="I615" s="513"/>
      <c r="J615" s="514"/>
      <c r="K615" s="514"/>
      <c r="L615" s="514"/>
      <c r="M615" s="514"/>
      <c r="N615" s="514"/>
      <c r="O615" s="514"/>
      <c r="P615" s="514"/>
      <c r="Q615" s="514"/>
      <c r="R615" s="515"/>
      <c r="S615" s="515"/>
      <c r="T615" s="515"/>
      <c r="U615" s="515"/>
      <c r="V615" s="515"/>
      <c r="W615" s="515"/>
      <c r="X615" s="515"/>
      <c r="Y615" s="515"/>
    </row>
    <row r="616" spans="1:25" ht="15.75" customHeight="1">
      <c r="A616" s="697"/>
      <c r="B616" s="527"/>
      <c r="C616" s="527" t="s">
        <v>403</v>
      </c>
      <c r="D616" s="564"/>
      <c r="E616" s="530"/>
      <c r="F616" s="530"/>
      <c r="G616" s="530"/>
      <c r="H616" s="530"/>
      <c r="I616" s="513"/>
      <c r="J616" s="514"/>
      <c r="K616" s="514"/>
      <c r="L616" s="514"/>
      <c r="M616" s="514"/>
      <c r="N616" s="514"/>
      <c r="O616" s="514"/>
      <c r="P616" s="514"/>
      <c r="Q616" s="514"/>
      <c r="R616" s="515"/>
      <c r="S616" s="515"/>
      <c r="T616" s="515"/>
      <c r="U616" s="515"/>
      <c r="V616" s="515"/>
      <c r="W616" s="515"/>
      <c r="X616" s="515"/>
      <c r="Y616" s="515"/>
    </row>
    <row r="617" spans="1:25" ht="15.75" customHeight="1">
      <c r="A617" s="697"/>
      <c r="B617" s="527"/>
      <c r="C617" s="537" t="s">
        <v>38</v>
      </c>
      <c r="D617" s="564"/>
      <c r="E617" s="530"/>
      <c r="F617" s="530"/>
      <c r="G617" s="530"/>
      <c r="H617" s="530"/>
      <c r="I617" s="513"/>
      <c r="J617" s="514"/>
      <c r="K617" s="514"/>
      <c r="L617" s="514"/>
      <c r="M617" s="514"/>
      <c r="N617" s="514"/>
      <c r="O617" s="514"/>
      <c r="P617" s="514"/>
      <c r="Q617" s="514"/>
      <c r="R617" s="515"/>
      <c r="S617" s="515"/>
      <c r="T617" s="515"/>
      <c r="U617" s="515"/>
      <c r="V617" s="515"/>
      <c r="W617" s="515"/>
      <c r="X617" s="515"/>
      <c r="Y617" s="515"/>
    </row>
    <row r="618" spans="1:25" ht="26.75" customHeight="1">
      <c r="A618" s="697"/>
      <c r="B618" s="527"/>
      <c r="C618" s="527" t="s">
        <v>404</v>
      </c>
      <c r="D618" s="564"/>
      <c r="E618" s="530"/>
      <c r="F618" s="530"/>
      <c r="G618" s="530"/>
      <c r="H618" s="530"/>
      <c r="I618" s="513"/>
      <c r="J618" s="514"/>
      <c r="K618" s="514"/>
      <c r="L618" s="514"/>
      <c r="M618" s="514"/>
      <c r="N618" s="514"/>
      <c r="O618" s="514"/>
      <c r="P618" s="514"/>
      <c r="Q618" s="514"/>
      <c r="R618" s="515"/>
      <c r="S618" s="515"/>
      <c r="T618" s="515"/>
      <c r="U618" s="515"/>
      <c r="V618" s="515"/>
      <c r="W618" s="515"/>
      <c r="X618" s="515"/>
      <c r="Y618" s="515"/>
    </row>
    <row r="619" spans="1:25" ht="15.75" customHeight="1">
      <c r="A619" s="717" t="s">
        <v>405</v>
      </c>
      <c r="B619" s="717"/>
      <c r="C619" s="717"/>
      <c r="D619" s="717"/>
      <c r="E619" s="566"/>
      <c r="F619" s="566"/>
      <c r="G619" s="566"/>
      <c r="H619" s="566"/>
      <c r="I619" s="513"/>
      <c r="J619" s="514"/>
      <c r="K619" s="514"/>
      <c r="L619" s="514"/>
      <c r="M619" s="514"/>
      <c r="N619" s="514"/>
      <c r="O619" s="514"/>
      <c r="P619" s="514"/>
      <c r="Q619" s="514"/>
      <c r="R619" s="515"/>
      <c r="S619" s="515"/>
      <c r="T619" s="515"/>
      <c r="U619" s="515"/>
      <c r="V619" s="515"/>
      <c r="W619" s="515"/>
      <c r="X619" s="515"/>
      <c r="Y619" s="515"/>
    </row>
    <row r="620" spans="1:25" ht="15.75" customHeight="1">
      <c r="A620" s="697" t="s">
        <v>155</v>
      </c>
      <c r="B620" s="527" t="s">
        <v>161</v>
      </c>
      <c r="C620" s="537" t="s">
        <v>26</v>
      </c>
      <c r="D620" s="564"/>
      <c r="E620" s="530"/>
      <c r="F620" s="530"/>
      <c r="G620" s="530"/>
      <c r="H620" s="702"/>
      <c r="I620" s="513"/>
      <c r="J620" s="514"/>
      <c r="K620" s="514"/>
      <c r="L620" s="514"/>
      <c r="M620" s="514"/>
      <c r="N620" s="514"/>
      <c r="O620" s="514"/>
      <c r="P620" s="514"/>
      <c r="Q620" s="514"/>
      <c r="R620" s="515"/>
      <c r="S620" s="515"/>
      <c r="T620" s="515"/>
      <c r="U620" s="515"/>
      <c r="V620" s="515"/>
      <c r="W620" s="515"/>
      <c r="X620" s="515"/>
      <c r="Y620" s="515"/>
    </row>
    <row r="621" spans="1:25" ht="73.25" customHeight="1">
      <c r="A621" s="697"/>
      <c r="B621" s="527"/>
      <c r="C621" s="519" t="s">
        <v>406</v>
      </c>
      <c r="D621" s="564"/>
      <c r="E621" s="530"/>
      <c r="F621" s="530"/>
      <c r="G621" s="530"/>
      <c r="H621" s="702"/>
      <c r="I621" s="513"/>
      <c r="J621" s="514"/>
      <c r="K621" s="514"/>
      <c r="L621" s="514"/>
      <c r="M621" s="514"/>
      <c r="N621" s="514"/>
      <c r="O621" s="514"/>
      <c r="P621" s="514"/>
      <c r="Q621" s="514"/>
      <c r="R621" s="515"/>
      <c r="S621" s="515"/>
      <c r="T621" s="515"/>
      <c r="U621" s="515"/>
      <c r="V621" s="515"/>
      <c r="W621" s="515"/>
      <c r="X621" s="515"/>
      <c r="Y621" s="515"/>
    </row>
    <row r="622" spans="1:25" ht="15.75" customHeight="1">
      <c r="A622" s="697"/>
      <c r="B622" s="527"/>
      <c r="C622" s="520" t="s">
        <v>47</v>
      </c>
      <c r="D622" s="564"/>
      <c r="E622" s="530"/>
      <c r="F622" s="530"/>
      <c r="G622" s="530"/>
      <c r="H622" s="702"/>
      <c r="I622" s="513"/>
      <c r="J622" s="514"/>
      <c r="K622" s="514"/>
      <c r="L622" s="514"/>
      <c r="M622" s="514"/>
      <c r="N622" s="514"/>
      <c r="O622" s="514"/>
      <c r="P622" s="514"/>
      <c r="Q622" s="514"/>
      <c r="R622" s="515"/>
      <c r="S622" s="515"/>
      <c r="T622" s="515"/>
      <c r="U622" s="515"/>
      <c r="V622" s="515"/>
      <c r="W622" s="515"/>
      <c r="X622" s="515"/>
      <c r="Y622" s="515"/>
    </row>
    <row r="623" spans="1:25" ht="15.75" customHeight="1">
      <c r="A623" s="697"/>
      <c r="B623" s="527"/>
      <c r="C623" s="496" t="s">
        <v>73</v>
      </c>
      <c r="D623" s="564"/>
      <c r="E623" s="530"/>
      <c r="F623" s="530"/>
      <c r="G623" s="530"/>
      <c r="H623" s="702"/>
      <c r="I623" s="513"/>
      <c r="J623" s="514"/>
      <c r="K623" s="514"/>
      <c r="L623" s="514"/>
      <c r="M623" s="514"/>
      <c r="N623" s="514"/>
      <c r="O623" s="514"/>
      <c r="P623" s="514"/>
      <c r="Q623" s="514"/>
      <c r="R623" s="515"/>
      <c r="S623" s="515"/>
      <c r="T623" s="515"/>
      <c r="U623" s="515"/>
      <c r="V623" s="515"/>
      <c r="W623" s="515"/>
      <c r="X623" s="515"/>
      <c r="Y623" s="515"/>
    </row>
    <row r="624" spans="1:25" ht="15.75" customHeight="1">
      <c r="A624" s="718"/>
      <c r="B624" s="533"/>
      <c r="C624" s="559" t="s">
        <v>407</v>
      </c>
      <c r="D624" s="568"/>
      <c r="E624" s="535"/>
      <c r="F624" s="535"/>
      <c r="G624" s="535"/>
      <c r="H624" s="703"/>
      <c r="I624" s="513"/>
      <c r="J624" s="514"/>
      <c r="K624" s="514"/>
      <c r="L624" s="514"/>
      <c r="M624" s="514"/>
      <c r="N624" s="514"/>
      <c r="O624" s="514"/>
      <c r="P624" s="514"/>
      <c r="Q624" s="514"/>
      <c r="R624" s="515"/>
      <c r="S624" s="515"/>
      <c r="T624" s="515"/>
      <c r="U624" s="515"/>
      <c r="V624" s="515"/>
      <c r="W624" s="515"/>
      <c r="X624" s="515"/>
      <c r="Y624" s="515"/>
    </row>
    <row r="625" spans="1:25" ht="50" customHeight="1">
      <c r="A625" s="697" t="s">
        <v>408</v>
      </c>
      <c r="B625" s="577" t="s">
        <v>409</v>
      </c>
      <c r="C625" s="554" t="s">
        <v>410</v>
      </c>
      <c r="D625" s="578"/>
      <c r="E625" s="579">
        <v>6</v>
      </c>
      <c r="F625" s="580" t="s">
        <v>411</v>
      </c>
      <c r="G625" s="580"/>
      <c r="H625" s="580"/>
      <c r="I625" s="513"/>
      <c r="J625" s="514"/>
      <c r="K625" s="514"/>
      <c r="L625" s="514"/>
      <c r="M625" s="514"/>
      <c r="N625" s="514"/>
      <c r="O625" s="514"/>
      <c r="P625" s="514"/>
      <c r="Q625" s="514"/>
      <c r="R625" s="515"/>
      <c r="S625" s="515"/>
      <c r="T625" s="515"/>
      <c r="U625" s="515"/>
      <c r="V625" s="515"/>
      <c r="W625" s="515"/>
      <c r="X625" s="515"/>
      <c r="Y625" s="515"/>
    </row>
    <row r="626" spans="1:25" ht="26.75" customHeight="1">
      <c r="A626" s="697"/>
      <c r="B626" s="536" t="s">
        <v>412</v>
      </c>
      <c r="C626" s="537" t="s">
        <v>26</v>
      </c>
      <c r="D626" s="570"/>
      <c r="E626" s="540">
        <v>6</v>
      </c>
      <c r="F626" s="539" t="s">
        <v>411</v>
      </c>
      <c r="G626" s="539"/>
      <c r="H626" s="705"/>
      <c r="I626" s="513"/>
      <c r="J626" s="514"/>
      <c r="K626" s="514"/>
      <c r="L626" s="514"/>
      <c r="M626" s="514"/>
      <c r="N626" s="514"/>
      <c r="O626" s="514"/>
      <c r="P626" s="514"/>
      <c r="Q626" s="514"/>
      <c r="R626" s="515"/>
      <c r="S626" s="515"/>
      <c r="T626" s="515"/>
      <c r="U626" s="515"/>
      <c r="V626" s="515"/>
      <c r="W626" s="515"/>
      <c r="X626" s="515"/>
      <c r="Y626" s="515"/>
    </row>
    <row r="627" spans="1:25" ht="26.75" customHeight="1">
      <c r="A627" s="697"/>
      <c r="B627" s="533"/>
      <c r="C627" s="533" t="s">
        <v>413</v>
      </c>
      <c r="D627" s="568"/>
      <c r="E627" s="535"/>
      <c r="F627" s="535"/>
      <c r="G627" s="535"/>
      <c r="H627" s="703"/>
      <c r="I627" s="513"/>
      <c r="J627" s="514"/>
      <c r="K627" s="514"/>
      <c r="L627" s="514"/>
      <c r="M627" s="514"/>
      <c r="N627" s="514"/>
      <c r="O627" s="514"/>
      <c r="P627" s="514"/>
      <c r="Q627" s="514"/>
      <c r="R627" s="515"/>
      <c r="S627" s="515"/>
      <c r="T627" s="515"/>
      <c r="U627" s="515"/>
      <c r="V627" s="515"/>
      <c r="W627" s="515"/>
      <c r="X627" s="515"/>
      <c r="Y627" s="515"/>
    </row>
    <row r="628" spans="1:25" ht="26.75" customHeight="1">
      <c r="A628" s="697"/>
      <c r="B628" s="527" t="s">
        <v>414</v>
      </c>
      <c r="C628" s="537" t="s">
        <v>1570</v>
      </c>
      <c r="D628" s="564"/>
      <c r="E628" s="541">
        <v>6</v>
      </c>
      <c r="F628" s="530" t="s">
        <v>411</v>
      </c>
      <c r="G628" s="530"/>
      <c r="H628" s="702"/>
      <c r="I628" s="513"/>
      <c r="J628" s="514"/>
      <c r="K628" s="514"/>
      <c r="L628" s="514"/>
      <c r="M628" s="514"/>
      <c r="N628" s="514"/>
      <c r="O628" s="514"/>
      <c r="P628" s="514"/>
      <c r="Q628" s="514"/>
      <c r="R628" s="515"/>
      <c r="S628" s="515"/>
      <c r="T628" s="515"/>
      <c r="U628" s="515"/>
      <c r="V628" s="515"/>
      <c r="W628" s="515"/>
      <c r="X628" s="515"/>
      <c r="Y628" s="515"/>
    </row>
    <row r="629" spans="1:25" ht="15.75" customHeight="1">
      <c r="A629" s="526"/>
      <c r="B629" s="527"/>
      <c r="C629" s="527" t="s">
        <v>52</v>
      </c>
      <c r="D629" s="564"/>
      <c r="E629" s="530"/>
      <c r="F629" s="530"/>
      <c r="G629" s="530"/>
      <c r="H629" s="702"/>
      <c r="I629" s="513"/>
      <c r="J629" s="514"/>
      <c r="K629" s="514"/>
      <c r="L629" s="514"/>
      <c r="M629" s="514"/>
      <c r="N629" s="514"/>
      <c r="O629" s="514"/>
      <c r="P629" s="514"/>
      <c r="Q629" s="514"/>
      <c r="R629" s="515"/>
      <c r="S629" s="515"/>
      <c r="T629" s="515"/>
      <c r="U629" s="515"/>
      <c r="V629" s="515"/>
      <c r="W629" s="515"/>
      <c r="X629" s="515"/>
      <c r="Y629" s="515"/>
    </row>
    <row r="630" spans="1:25" ht="15.75" customHeight="1">
      <c r="A630" s="526"/>
      <c r="B630" s="527"/>
      <c r="C630" s="553" t="s">
        <v>47</v>
      </c>
      <c r="D630" s="564"/>
      <c r="E630" s="530"/>
      <c r="F630" s="530"/>
      <c r="G630" s="530"/>
      <c r="H630" s="702"/>
      <c r="I630" s="513"/>
      <c r="J630" s="514"/>
      <c r="K630" s="514"/>
      <c r="L630" s="514"/>
      <c r="M630" s="514"/>
      <c r="N630" s="514"/>
      <c r="O630" s="514"/>
      <c r="P630" s="514"/>
      <c r="Q630" s="514"/>
      <c r="R630" s="515"/>
      <c r="S630" s="515"/>
      <c r="T630" s="515"/>
      <c r="U630" s="515"/>
      <c r="V630" s="515"/>
      <c r="W630" s="515"/>
      <c r="X630" s="515"/>
      <c r="Y630" s="515"/>
    </row>
    <row r="631" spans="1:25" ht="15.75" customHeight="1">
      <c r="A631" s="526"/>
      <c r="B631" s="527"/>
      <c r="C631" s="492" t="s">
        <v>371</v>
      </c>
      <c r="D631" s="564"/>
      <c r="E631" s="530"/>
      <c r="F631" s="530"/>
      <c r="G631" s="530"/>
      <c r="H631" s="702"/>
      <c r="I631" s="513"/>
      <c r="J631" s="514"/>
      <c r="K631" s="514"/>
      <c r="L631" s="514"/>
      <c r="M631" s="514"/>
      <c r="N631" s="514"/>
      <c r="O631" s="514"/>
      <c r="P631" s="514"/>
      <c r="Q631" s="514"/>
      <c r="R631" s="515"/>
      <c r="S631" s="515"/>
      <c r="T631" s="515"/>
      <c r="U631" s="515"/>
      <c r="V631" s="515"/>
      <c r="W631" s="515"/>
      <c r="X631" s="515"/>
      <c r="Y631" s="515"/>
    </row>
    <row r="632" spans="1:25" ht="15.75" customHeight="1">
      <c r="A632" s="526"/>
      <c r="B632" s="527"/>
      <c r="C632" s="528" t="s">
        <v>410</v>
      </c>
      <c r="D632" s="564"/>
      <c r="E632" s="530"/>
      <c r="F632" s="530"/>
      <c r="G632" s="530"/>
      <c r="H632" s="702"/>
      <c r="I632" s="513"/>
      <c r="J632" s="514"/>
      <c r="K632" s="514"/>
      <c r="L632" s="514"/>
      <c r="M632" s="514"/>
      <c r="N632" s="514"/>
      <c r="O632" s="514"/>
      <c r="P632" s="514"/>
      <c r="Q632" s="514"/>
      <c r="R632" s="515"/>
      <c r="S632" s="515"/>
      <c r="T632" s="515"/>
      <c r="U632" s="515"/>
      <c r="V632" s="515"/>
      <c r="W632" s="515"/>
      <c r="X632" s="515"/>
      <c r="Y632" s="515"/>
    </row>
    <row r="633" spans="1:25" ht="15.75" customHeight="1">
      <c r="A633" s="526"/>
      <c r="B633" s="527"/>
      <c r="C633" s="495" t="s">
        <v>415</v>
      </c>
      <c r="D633" s="564"/>
      <c r="E633" s="530"/>
      <c r="F633" s="530"/>
      <c r="G633" s="530"/>
      <c r="H633" s="702"/>
      <c r="I633" s="513"/>
      <c r="J633" s="514"/>
      <c r="K633" s="514"/>
      <c r="L633" s="514"/>
      <c r="M633" s="514"/>
      <c r="N633" s="514"/>
      <c r="O633" s="514"/>
      <c r="P633" s="514"/>
      <c r="Q633" s="514"/>
      <c r="R633" s="515"/>
      <c r="S633" s="515"/>
      <c r="T633" s="515"/>
      <c r="U633" s="515"/>
      <c r="V633" s="515"/>
      <c r="W633" s="515"/>
      <c r="X633" s="515"/>
      <c r="Y633" s="515"/>
    </row>
    <row r="634" spans="1:25" ht="15.75" customHeight="1">
      <c r="A634" s="717" t="s">
        <v>416</v>
      </c>
      <c r="B634" s="717"/>
      <c r="C634" s="717"/>
      <c r="D634" s="717"/>
      <c r="E634" s="719"/>
      <c r="F634" s="719"/>
      <c r="G634" s="719"/>
      <c r="H634" s="719"/>
      <c r="I634" s="513"/>
      <c r="J634" s="514"/>
      <c r="K634" s="514"/>
      <c r="L634" s="514"/>
      <c r="M634" s="514"/>
      <c r="N634" s="514"/>
      <c r="O634" s="514"/>
      <c r="P634" s="514"/>
      <c r="Q634" s="514"/>
      <c r="R634" s="515"/>
      <c r="S634" s="515"/>
      <c r="T634" s="515"/>
      <c r="U634" s="515"/>
      <c r="V634" s="515"/>
      <c r="W634" s="515"/>
      <c r="X634" s="515"/>
      <c r="Y634" s="515"/>
    </row>
    <row r="635" spans="1:25" ht="15.75" customHeight="1">
      <c r="A635" s="697" t="s">
        <v>155</v>
      </c>
      <c r="B635" s="527" t="s">
        <v>161</v>
      </c>
      <c r="C635" s="537" t="s">
        <v>1570</v>
      </c>
      <c r="D635" s="564"/>
      <c r="E635" s="530"/>
      <c r="F635" s="530"/>
      <c r="G635" s="530"/>
      <c r="H635" s="530"/>
      <c r="I635" s="513"/>
      <c r="J635" s="514"/>
      <c r="K635" s="514"/>
      <c r="L635" s="514"/>
      <c r="M635" s="514"/>
      <c r="N635" s="514"/>
      <c r="O635" s="514"/>
      <c r="P635" s="514"/>
      <c r="Q635" s="514"/>
      <c r="R635" s="515"/>
      <c r="S635" s="515"/>
      <c r="T635" s="515"/>
      <c r="U635" s="515"/>
      <c r="V635" s="515"/>
      <c r="W635" s="515"/>
      <c r="X635" s="515"/>
      <c r="Y635" s="515"/>
    </row>
    <row r="636" spans="1:25" ht="50" customHeight="1">
      <c r="A636" s="697"/>
      <c r="B636" s="527"/>
      <c r="C636" s="519" t="s">
        <v>417</v>
      </c>
      <c r="D636" s="564"/>
      <c r="E636" s="530"/>
      <c r="F636" s="530"/>
      <c r="G636" s="530"/>
      <c r="H636" s="530"/>
      <c r="I636" s="513"/>
      <c r="J636" s="514"/>
      <c r="K636" s="514"/>
      <c r="L636" s="514"/>
      <c r="M636" s="514"/>
      <c r="N636" s="514"/>
      <c r="O636" s="514"/>
      <c r="P636" s="514"/>
      <c r="Q636" s="514"/>
      <c r="R636" s="515"/>
      <c r="S636" s="515"/>
      <c r="T636" s="515"/>
      <c r="U636" s="515"/>
      <c r="V636" s="515"/>
      <c r="W636" s="515"/>
      <c r="X636" s="515"/>
      <c r="Y636" s="515"/>
    </row>
    <row r="637" spans="1:25" ht="15.75" customHeight="1">
      <c r="A637" s="697"/>
      <c r="B637" s="583"/>
      <c r="C637" s="520" t="s">
        <v>47</v>
      </c>
      <c r="D637" s="564"/>
      <c r="E637" s="530"/>
      <c r="F637" s="530"/>
      <c r="G637" s="530"/>
      <c r="H637" s="530"/>
      <c r="I637" s="513"/>
      <c r="J637" s="514"/>
      <c r="K637" s="514"/>
      <c r="L637" s="514"/>
      <c r="M637" s="514"/>
      <c r="N637" s="514"/>
      <c r="O637" s="514"/>
      <c r="P637" s="514"/>
      <c r="Q637" s="514"/>
      <c r="R637" s="515"/>
      <c r="S637" s="515"/>
      <c r="T637" s="515"/>
      <c r="U637" s="515"/>
      <c r="V637" s="515"/>
      <c r="W637" s="515"/>
      <c r="X637" s="515"/>
      <c r="Y637" s="515"/>
    </row>
    <row r="638" spans="1:25" ht="26">
      <c r="A638" s="697"/>
      <c r="B638" s="527"/>
      <c r="C638" s="496" t="s">
        <v>1603</v>
      </c>
      <c r="D638" s="564"/>
      <c r="E638" s="530"/>
      <c r="F638" s="530"/>
      <c r="G638" s="530"/>
      <c r="H638" s="530"/>
      <c r="I638" s="513"/>
      <c r="J638" s="514"/>
      <c r="K638" s="514"/>
      <c r="L638" s="514"/>
      <c r="M638" s="514"/>
      <c r="N638" s="514"/>
      <c r="O638" s="514"/>
      <c r="P638" s="514"/>
      <c r="Q638" s="514"/>
      <c r="R638" s="515"/>
      <c r="S638" s="515"/>
      <c r="T638" s="515"/>
      <c r="U638" s="515"/>
      <c r="V638" s="515"/>
      <c r="W638" s="515"/>
      <c r="X638" s="515"/>
      <c r="Y638" s="515"/>
    </row>
    <row r="639" spans="1:25" ht="15.75" customHeight="1">
      <c r="A639" s="697"/>
      <c r="B639" s="527"/>
      <c r="C639" s="496" t="s">
        <v>73</v>
      </c>
      <c r="D639" s="564"/>
      <c r="E639" s="530"/>
      <c r="F639" s="530"/>
      <c r="G639" s="530"/>
      <c r="H639" s="530"/>
      <c r="I639" s="513"/>
      <c r="J639" s="514"/>
      <c r="K639" s="514"/>
      <c r="L639" s="514"/>
      <c r="M639" s="514"/>
      <c r="N639" s="514"/>
      <c r="O639" s="514"/>
      <c r="P639" s="514"/>
      <c r="Q639" s="514"/>
      <c r="R639" s="515"/>
      <c r="S639" s="515"/>
      <c r="T639" s="515"/>
      <c r="U639" s="515"/>
      <c r="V639" s="515"/>
      <c r="W639" s="515"/>
      <c r="X639" s="515"/>
      <c r="Y639" s="515"/>
    </row>
    <row r="640" spans="1:25" ht="15.75" customHeight="1">
      <c r="A640" s="718"/>
      <c r="B640" s="533"/>
      <c r="C640" s="559" t="s">
        <v>187</v>
      </c>
      <c r="D640" s="568"/>
      <c r="E640" s="535"/>
      <c r="F640" s="535"/>
      <c r="G640" s="535"/>
      <c r="H640" s="535"/>
      <c r="I640" s="513"/>
      <c r="J640" s="514"/>
      <c r="K640" s="514"/>
      <c r="L640" s="514"/>
      <c r="M640" s="514"/>
      <c r="N640" s="514"/>
      <c r="O640" s="514"/>
      <c r="P640" s="514"/>
      <c r="Q640" s="514"/>
      <c r="R640" s="515"/>
      <c r="S640" s="515"/>
      <c r="T640" s="515"/>
      <c r="U640" s="515"/>
      <c r="V640" s="515"/>
      <c r="W640" s="515"/>
      <c r="X640" s="515"/>
      <c r="Y640" s="515"/>
    </row>
    <row r="641" spans="1:25" ht="15.75" customHeight="1">
      <c r="A641" s="697" t="s">
        <v>418</v>
      </c>
      <c r="B641" s="527" t="s">
        <v>419</v>
      </c>
      <c r="C641" s="537" t="s">
        <v>1570</v>
      </c>
      <c r="D641" s="564"/>
      <c r="E641" s="530"/>
      <c r="F641" s="530"/>
      <c r="G641" s="530"/>
      <c r="H641" s="530"/>
      <c r="I641" s="513"/>
      <c r="J641" s="514"/>
      <c r="K641" s="514"/>
      <c r="L641" s="514"/>
      <c r="M641" s="514"/>
      <c r="N641" s="514"/>
      <c r="O641" s="514"/>
      <c r="P641" s="514"/>
      <c r="Q641" s="514"/>
      <c r="R641" s="515"/>
      <c r="S641" s="515"/>
      <c r="T641" s="515"/>
      <c r="U641" s="515"/>
      <c r="V641" s="515"/>
      <c r="W641" s="515"/>
      <c r="X641" s="515"/>
      <c r="Y641" s="515"/>
    </row>
    <row r="642" spans="1:25" ht="50" customHeight="1">
      <c r="A642" s="697"/>
      <c r="B642" s="527"/>
      <c r="C642" s="527" t="s">
        <v>420</v>
      </c>
      <c r="D642" s="564"/>
      <c r="E642" s="530"/>
      <c r="F642" s="530"/>
      <c r="G642" s="530"/>
      <c r="H642" s="530"/>
      <c r="I642" s="513"/>
      <c r="J642" s="514"/>
      <c r="K642" s="514"/>
      <c r="L642" s="514"/>
      <c r="M642" s="514"/>
      <c r="N642" s="514"/>
      <c r="O642" s="514"/>
      <c r="P642" s="514"/>
      <c r="Q642" s="514"/>
      <c r="R642" s="515"/>
      <c r="S642" s="515"/>
      <c r="T642" s="515"/>
      <c r="U642" s="515"/>
      <c r="V642" s="515"/>
      <c r="W642" s="515"/>
      <c r="X642" s="515"/>
      <c r="Y642" s="515"/>
    </row>
    <row r="643" spans="1:25" ht="15.75" customHeight="1">
      <c r="A643" s="697"/>
      <c r="B643" s="527"/>
      <c r="C643" s="537" t="s">
        <v>38</v>
      </c>
      <c r="D643" s="564"/>
      <c r="E643" s="530"/>
      <c r="F643" s="530"/>
      <c r="G643" s="530"/>
      <c r="H643" s="530"/>
      <c r="I643" s="513"/>
      <c r="J643" s="514"/>
      <c r="K643" s="514"/>
      <c r="L643" s="514"/>
      <c r="M643" s="514"/>
      <c r="N643" s="514"/>
      <c r="O643" s="514"/>
      <c r="P643" s="514"/>
      <c r="Q643" s="514"/>
      <c r="R643" s="515"/>
      <c r="S643" s="515"/>
      <c r="T643" s="515"/>
      <c r="U643" s="515"/>
      <c r="V643" s="515"/>
      <c r="W643" s="515"/>
      <c r="X643" s="515"/>
      <c r="Y643" s="515"/>
    </row>
    <row r="644" spans="1:25" ht="15.75" customHeight="1">
      <c r="A644" s="697"/>
      <c r="B644" s="527"/>
      <c r="C644" s="527" t="s">
        <v>421</v>
      </c>
      <c r="D644" s="564"/>
      <c r="E644" s="530"/>
      <c r="F644" s="530"/>
      <c r="G644" s="530"/>
      <c r="H644" s="530"/>
      <c r="I644" s="513"/>
      <c r="J644" s="514"/>
      <c r="K644" s="514"/>
      <c r="L644" s="514"/>
      <c r="M644" s="514"/>
      <c r="N644" s="514"/>
      <c r="O644" s="514"/>
      <c r="P644" s="514"/>
      <c r="Q644" s="514"/>
      <c r="R644" s="515"/>
      <c r="S644" s="515"/>
      <c r="T644" s="515"/>
      <c r="U644" s="515"/>
      <c r="V644" s="515"/>
      <c r="W644" s="515"/>
      <c r="X644" s="515"/>
      <c r="Y644" s="515"/>
    </row>
    <row r="645" spans="1:25" ht="15.75" customHeight="1">
      <c r="A645" s="697"/>
      <c r="B645" s="527"/>
      <c r="C645" s="553" t="s">
        <v>47</v>
      </c>
      <c r="D645" s="564"/>
      <c r="E645" s="530"/>
      <c r="F645" s="530"/>
      <c r="G645" s="530"/>
      <c r="H645" s="530"/>
      <c r="I645" s="513"/>
      <c r="J645" s="514"/>
      <c r="K645" s="514"/>
      <c r="L645" s="514"/>
      <c r="M645" s="514"/>
      <c r="N645" s="514"/>
      <c r="O645" s="514"/>
      <c r="P645" s="514"/>
      <c r="Q645" s="514"/>
      <c r="R645" s="515"/>
      <c r="S645" s="515"/>
      <c r="T645" s="515"/>
      <c r="U645" s="515"/>
      <c r="V645" s="515"/>
      <c r="W645" s="515"/>
      <c r="X645" s="515"/>
      <c r="Y645" s="515"/>
    </row>
    <row r="646" spans="1:25" ht="26">
      <c r="A646" s="697"/>
      <c r="B646" s="533"/>
      <c r="C646" s="510" t="s">
        <v>1603</v>
      </c>
      <c r="D646" s="568"/>
      <c r="E646" s="535"/>
      <c r="F646" s="535"/>
      <c r="G646" s="535"/>
      <c r="H646" s="535"/>
      <c r="I646" s="513"/>
      <c r="J646" s="514"/>
      <c r="K646" s="514"/>
      <c r="L646" s="514"/>
      <c r="M646" s="514"/>
      <c r="N646" s="514"/>
      <c r="O646" s="514"/>
      <c r="P646" s="514"/>
      <c r="Q646" s="514"/>
      <c r="R646" s="515"/>
      <c r="S646" s="515"/>
      <c r="T646" s="515"/>
      <c r="U646" s="515"/>
      <c r="V646" s="515"/>
      <c r="W646" s="515"/>
      <c r="X646" s="515"/>
      <c r="Y646" s="515"/>
    </row>
    <row r="647" spans="1:25" ht="15.75" customHeight="1">
      <c r="A647" s="697"/>
      <c r="B647" s="698" t="s">
        <v>422</v>
      </c>
      <c r="C647" s="537" t="s">
        <v>1570</v>
      </c>
      <c r="D647" s="564"/>
      <c r="E647" s="541">
        <v>6</v>
      </c>
      <c r="F647" s="541">
        <v>3</v>
      </c>
      <c r="G647" s="530"/>
      <c r="H647" s="530"/>
      <c r="I647" s="513"/>
      <c r="J647" s="514"/>
      <c r="K647" s="514"/>
      <c r="L647" s="514"/>
      <c r="M647" s="514"/>
      <c r="N647" s="514"/>
      <c r="O647" s="514"/>
      <c r="P647" s="514"/>
      <c r="Q647" s="514"/>
      <c r="R647" s="515"/>
      <c r="S647" s="515"/>
      <c r="T647" s="515"/>
      <c r="U647" s="515"/>
      <c r="V647" s="515"/>
      <c r="W647" s="515"/>
      <c r="X647" s="515"/>
      <c r="Y647" s="515"/>
    </row>
    <row r="648" spans="1:25" ht="15.75" customHeight="1">
      <c r="A648" s="526"/>
      <c r="B648" s="698"/>
      <c r="C648" s="527" t="s">
        <v>52</v>
      </c>
      <c r="D648" s="564"/>
      <c r="E648" s="530"/>
      <c r="F648" s="530"/>
      <c r="G648" s="530"/>
      <c r="H648" s="530"/>
      <c r="I648" s="513"/>
      <c r="J648" s="514"/>
      <c r="K648" s="514"/>
      <c r="L648" s="514"/>
      <c r="M648" s="514"/>
      <c r="N648" s="514"/>
      <c r="O648" s="514"/>
      <c r="P648" s="514"/>
      <c r="Q648" s="514"/>
      <c r="R648" s="515"/>
      <c r="S648" s="515"/>
      <c r="T648" s="515"/>
      <c r="U648" s="515"/>
      <c r="V648" s="515"/>
      <c r="W648" s="515"/>
      <c r="X648" s="515"/>
      <c r="Y648" s="515"/>
    </row>
    <row r="649" spans="1:25" ht="15.75" customHeight="1">
      <c r="A649" s="526"/>
      <c r="B649" s="698"/>
      <c r="C649" s="537" t="s">
        <v>38</v>
      </c>
      <c r="D649" s="564"/>
      <c r="E649" s="530"/>
      <c r="F649" s="530"/>
      <c r="G649" s="530"/>
      <c r="H649" s="530"/>
      <c r="I649" s="513"/>
      <c r="J649" s="514"/>
      <c r="K649" s="514"/>
      <c r="L649" s="514"/>
      <c r="M649" s="514"/>
      <c r="N649" s="514"/>
      <c r="O649" s="514"/>
      <c r="P649" s="514"/>
      <c r="Q649" s="514"/>
      <c r="R649" s="515"/>
      <c r="S649" s="515"/>
      <c r="T649" s="515"/>
      <c r="U649" s="515"/>
      <c r="V649" s="515"/>
      <c r="W649" s="515"/>
      <c r="X649" s="515"/>
      <c r="Y649" s="515"/>
    </row>
    <row r="650" spans="1:25" ht="15.75" customHeight="1">
      <c r="A650" s="526"/>
      <c r="B650" s="698"/>
      <c r="C650" s="527" t="s">
        <v>423</v>
      </c>
      <c r="D650" s="564"/>
      <c r="E650" s="530"/>
      <c r="F650" s="530"/>
      <c r="G650" s="530"/>
      <c r="H650" s="530"/>
      <c r="I650" s="513"/>
      <c r="J650" s="514"/>
      <c r="K650" s="514"/>
      <c r="L650" s="514"/>
      <c r="M650" s="514"/>
      <c r="N650" s="514"/>
      <c r="O650" s="514"/>
      <c r="P650" s="514"/>
      <c r="Q650" s="514"/>
      <c r="R650" s="515"/>
      <c r="S650" s="515"/>
      <c r="T650" s="515"/>
      <c r="U650" s="515"/>
      <c r="V650" s="515"/>
      <c r="W650" s="515"/>
      <c r="X650" s="515"/>
      <c r="Y650" s="515"/>
    </row>
    <row r="651" spans="1:25" ht="15.75" customHeight="1">
      <c r="A651" s="526"/>
      <c r="B651" s="698"/>
      <c r="C651" s="528" t="s">
        <v>186</v>
      </c>
      <c r="D651" s="564"/>
      <c r="E651" s="530"/>
      <c r="F651" s="530"/>
      <c r="G651" s="530"/>
      <c r="H651" s="530"/>
      <c r="I651" s="513"/>
      <c r="J651" s="514"/>
      <c r="K651" s="514"/>
      <c r="L651" s="514"/>
      <c r="M651" s="514"/>
      <c r="N651" s="514"/>
      <c r="O651" s="514"/>
      <c r="P651" s="514"/>
      <c r="Q651" s="514"/>
      <c r="R651" s="515"/>
      <c r="S651" s="515"/>
      <c r="T651" s="515"/>
      <c r="U651" s="515"/>
      <c r="V651" s="515"/>
      <c r="W651" s="515"/>
      <c r="X651" s="515"/>
      <c r="Y651" s="515"/>
    </row>
    <row r="652" spans="1:25" ht="15.75" customHeight="1">
      <c r="A652" s="717" t="s">
        <v>424</v>
      </c>
      <c r="B652" s="717"/>
      <c r="C652" s="717"/>
      <c r="D652" s="717"/>
      <c r="E652" s="566"/>
      <c r="F652" s="566"/>
      <c r="G652" s="566"/>
      <c r="H652" s="566"/>
      <c r="I652" s="513"/>
      <c r="J652" s="514"/>
      <c r="K652" s="514"/>
      <c r="L652" s="514"/>
      <c r="M652" s="514"/>
      <c r="N652" s="514"/>
      <c r="O652" s="514"/>
      <c r="P652" s="514"/>
      <c r="Q652" s="514"/>
      <c r="R652" s="515"/>
      <c r="S652" s="515"/>
      <c r="T652" s="515"/>
      <c r="U652" s="515"/>
      <c r="V652" s="515"/>
      <c r="W652" s="515"/>
      <c r="X652" s="515"/>
      <c r="Y652" s="515"/>
    </row>
    <row r="653" spans="1:25" ht="15.75" customHeight="1">
      <c r="A653" s="697" t="s">
        <v>155</v>
      </c>
      <c r="B653" s="527" t="s">
        <v>161</v>
      </c>
      <c r="C653" s="537" t="s">
        <v>1570</v>
      </c>
      <c r="D653" s="564"/>
      <c r="E653" s="530" t="s">
        <v>425</v>
      </c>
      <c r="F653" s="530" t="s">
        <v>150</v>
      </c>
      <c r="G653" s="530"/>
      <c r="H653" s="530"/>
      <c r="I653" s="513"/>
      <c r="J653" s="514"/>
      <c r="K653" s="514"/>
      <c r="L653" s="514"/>
      <c r="M653" s="514"/>
      <c r="N653" s="514"/>
      <c r="O653" s="514"/>
      <c r="P653" s="514"/>
      <c r="Q653" s="514"/>
      <c r="R653" s="515"/>
      <c r="S653" s="515"/>
      <c r="T653" s="515"/>
      <c r="U653" s="515"/>
      <c r="V653" s="515"/>
      <c r="W653" s="515"/>
      <c r="X653" s="515"/>
      <c r="Y653" s="515"/>
    </row>
    <row r="654" spans="1:25" ht="39.25" customHeight="1">
      <c r="A654" s="697"/>
      <c r="B654" s="527"/>
      <c r="C654" s="527" t="s">
        <v>426</v>
      </c>
      <c r="D654" s="564"/>
      <c r="E654" s="530"/>
      <c r="F654" s="530"/>
      <c r="G654" s="530"/>
      <c r="H654" s="530"/>
      <c r="I654" s="513"/>
      <c r="J654" s="514"/>
      <c r="K654" s="514"/>
      <c r="L654" s="514"/>
      <c r="M654" s="514"/>
      <c r="N654" s="514"/>
      <c r="O654" s="514"/>
      <c r="P654" s="514"/>
      <c r="Q654" s="514"/>
      <c r="R654" s="515"/>
      <c r="S654" s="515"/>
      <c r="T654" s="515"/>
      <c r="U654" s="515"/>
      <c r="V654" s="515"/>
      <c r="W654" s="515"/>
      <c r="X654" s="515"/>
      <c r="Y654" s="515"/>
    </row>
    <row r="655" spans="1:25" ht="15.75" customHeight="1">
      <c r="A655" s="697"/>
      <c r="B655" s="527"/>
      <c r="C655" s="537" t="s">
        <v>38</v>
      </c>
      <c r="D655" s="564"/>
      <c r="E655" s="530"/>
      <c r="F655" s="530"/>
      <c r="G655" s="530"/>
      <c r="H655" s="530"/>
      <c r="I655" s="513"/>
      <c r="J655" s="514"/>
      <c r="K655" s="514"/>
      <c r="L655" s="514"/>
      <c r="M655" s="514"/>
      <c r="N655" s="514"/>
      <c r="O655" s="514"/>
      <c r="P655" s="514"/>
      <c r="Q655" s="514"/>
      <c r="R655" s="515"/>
      <c r="S655" s="515"/>
      <c r="T655" s="515"/>
      <c r="U655" s="515"/>
      <c r="V655" s="515"/>
      <c r="W655" s="515"/>
      <c r="X655" s="515"/>
      <c r="Y655" s="515"/>
    </row>
    <row r="656" spans="1:25" ht="26.75" customHeight="1">
      <c r="A656" s="697"/>
      <c r="B656" s="527"/>
      <c r="C656" s="527" t="s">
        <v>427</v>
      </c>
      <c r="D656" s="564"/>
      <c r="E656" s="530"/>
      <c r="F656" s="530"/>
      <c r="G656" s="530"/>
      <c r="H656" s="530"/>
      <c r="I656" s="513"/>
      <c r="J656" s="514"/>
      <c r="K656" s="514"/>
      <c r="L656" s="514"/>
      <c r="M656" s="514"/>
      <c r="N656" s="514"/>
      <c r="O656" s="514"/>
      <c r="P656" s="514"/>
      <c r="Q656" s="514"/>
      <c r="R656" s="515"/>
      <c r="S656" s="515"/>
      <c r="T656" s="515"/>
      <c r="U656" s="515"/>
      <c r="V656" s="515"/>
      <c r="W656" s="515"/>
      <c r="X656" s="515"/>
      <c r="Y656" s="515"/>
    </row>
    <row r="657" spans="1:25" ht="15.75" customHeight="1">
      <c r="A657" s="697"/>
      <c r="B657" s="527"/>
      <c r="C657" s="553" t="s">
        <v>47</v>
      </c>
      <c r="D657" s="564"/>
      <c r="E657" s="530"/>
      <c r="F657" s="530"/>
      <c r="G657" s="530"/>
      <c r="H657" s="530"/>
      <c r="I657" s="513"/>
      <c r="J657" s="514"/>
      <c r="K657" s="514"/>
      <c r="L657" s="514"/>
      <c r="M657" s="514"/>
      <c r="N657" s="514"/>
      <c r="O657" s="514"/>
      <c r="P657" s="514"/>
      <c r="Q657" s="514"/>
      <c r="R657" s="515"/>
      <c r="S657" s="515"/>
      <c r="T657" s="515"/>
      <c r="U657" s="515"/>
      <c r="V657" s="515"/>
      <c r="W657" s="515"/>
      <c r="X657" s="515"/>
      <c r="Y657" s="515"/>
    </row>
    <row r="658" spans="1:25" ht="15.75" customHeight="1">
      <c r="A658" s="697"/>
      <c r="B658" s="527"/>
      <c r="C658" s="495" t="s">
        <v>138</v>
      </c>
      <c r="D658" s="564"/>
      <c r="E658" s="530"/>
      <c r="F658" s="530"/>
      <c r="G658" s="530"/>
      <c r="H658" s="530"/>
      <c r="I658" s="513"/>
      <c r="J658" s="514"/>
      <c r="K658" s="514"/>
      <c r="L658" s="514"/>
      <c r="M658" s="514"/>
      <c r="N658" s="514"/>
      <c r="O658" s="514"/>
      <c r="P658" s="514"/>
      <c r="Q658" s="514"/>
      <c r="R658" s="515"/>
      <c r="S658" s="515"/>
      <c r="T658" s="515"/>
      <c r="U658" s="515"/>
      <c r="V658" s="515"/>
      <c r="W658" s="515"/>
      <c r="X658" s="515"/>
      <c r="Y658" s="515"/>
    </row>
    <row r="659" spans="1:25">
      <c r="A659" s="697"/>
      <c r="B659" s="527"/>
      <c r="C659" s="495" t="s">
        <v>1598</v>
      </c>
      <c r="D659" s="564"/>
      <c r="E659" s="530"/>
      <c r="F659" s="530"/>
      <c r="G659" s="530"/>
      <c r="H659" s="530"/>
      <c r="I659" s="513"/>
      <c r="J659" s="514"/>
      <c r="K659" s="514"/>
      <c r="L659" s="514"/>
      <c r="M659" s="514"/>
      <c r="N659" s="514"/>
      <c r="O659" s="514"/>
      <c r="P659" s="514"/>
      <c r="Q659" s="514"/>
      <c r="R659" s="515"/>
      <c r="S659" s="515"/>
      <c r="T659" s="515"/>
      <c r="U659" s="515"/>
      <c r="V659" s="515"/>
      <c r="W659" s="515"/>
      <c r="X659" s="515"/>
      <c r="Y659" s="515"/>
    </row>
    <row r="660" spans="1:25" ht="26">
      <c r="A660" s="718"/>
      <c r="B660" s="533"/>
      <c r="C660" s="507" t="s">
        <v>1603</v>
      </c>
      <c r="D660" s="568"/>
      <c r="E660" s="535"/>
      <c r="F660" s="535"/>
      <c r="G660" s="535"/>
      <c r="H660" s="535"/>
      <c r="I660" s="513"/>
      <c r="J660" s="514"/>
      <c r="K660" s="514"/>
      <c r="L660" s="514"/>
      <c r="M660" s="514"/>
      <c r="N660" s="514"/>
      <c r="O660" s="514"/>
      <c r="P660" s="514"/>
      <c r="Q660" s="514"/>
      <c r="R660" s="515"/>
      <c r="S660" s="515"/>
      <c r="T660" s="515"/>
      <c r="U660" s="515"/>
      <c r="V660" s="515"/>
      <c r="W660" s="515"/>
      <c r="X660" s="515"/>
      <c r="Y660" s="515"/>
    </row>
    <row r="661" spans="1:25" ht="15.75" customHeight="1">
      <c r="A661" s="697" t="s">
        <v>428</v>
      </c>
      <c r="B661" s="698" t="s">
        <v>429</v>
      </c>
      <c r="C661" s="537" t="s">
        <v>1570</v>
      </c>
      <c r="D661" s="564"/>
      <c r="E661" s="530" t="s">
        <v>425</v>
      </c>
      <c r="F661" s="530" t="s">
        <v>150</v>
      </c>
      <c r="G661" s="530"/>
      <c r="H661" s="530"/>
      <c r="I661" s="513"/>
      <c r="J661" s="514"/>
      <c r="K661" s="514"/>
      <c r="L661" s="514"/>
      <c r="M661" s="514"/>
      <c r="N661" s="514"/>
      <c r="O661" s="514"/>
      <c r="P661" s="514"/>
      <c r="Q661" s="514"/>
      <c r="R661" s="515"/>
      <c r="S661" s="515"/>
      <c r="T661" s="515"/>
      <c r="U661" s="515"/>
      <c r="V661" s="515"/>
      <c r="W661" s="515"/>
      <c r="X661" s="515"/>
      <c r="Y661" s="515"/>
    </row>
    <row r="662" spans="1:25" ht="26.75" customHeight="1">
      <c r="A662" s="697"/>
      <c r="B662" s="698"/>
      <c r="C662" s="492" t="s">
        <v>430</v>
      </c>
      <c r="D662" s="564"/>
      <c r="E662" s="530"/>
      <c r="F662" s="530"/>
      <c r="G662" s="530"/>
      <c r="H662" s="530"/>
      <c r="I662" s="513"/>
      <c r="J662" s="514"/>
      <c r="K662" s="514"/>
      <c r="L662" s="514"/>
      <c r="M662" s="514"/>
      <c r="N662" s="514"/>
      <c r="O662" s="514"/>
      <c r="P662" s="514"/>
      <c r="Q662" s="514"/>
      <c r="R662" s="515"/>
      <c r="S662" s="515"/>
      <c r="T662" s="515"/>
      <c r="U662" s="515"/>
      <c r="V662" s="515"/>
      <c r="W662" s="515"/>
      <c r="X662" s="515"/>
      <c r="Y662" s="515"/>
    </row>
    <row r="663" spans="1:25" ht="15.75" customHeight="1">
      <c r="A663" s="697"/>
      <c r="B663" s="698"/>
      <c r="C663" s="492" t="s">
        <v>197</v>
      </c>
      <c r="D663" s="564"/>
      <c r="E663" s="530"/>
      <c r="F663" s="530"/>
      <c r="G663" s="530"/>
      <c r="H663" s="530"/>
      <c r="I663" s="513"/>
      <c r="J663" s="514"/>
      <c r="K663" s="514"/>
      <c r="L663" s="514"/>
      <c r="M663" s="514"/>
      <c r="N663" s="514"/>
      <c r="O663" s="514"/>
      <c r="P663" s="514"/>
      <c r="Q663" s="514"/>
      <c r="R663" s="515"/>
      <c r="S663" s="515"/>
      <c r="T663" s="515"/>
      <c r="U663" s="515"/>
      <c r="V663" s="515"/>
      <c r="W663" s="515"/>
      <c r="X663" s="515"/>
      <c r="Y663" s="515"/>
    </row>
    <row r="664" spans="1:25" ht="15.75" customHeight="1">
      <c r="A664" s="697"/>
      <c r="B664" s="698"/>
      <c r="C664" s="492" t="s">
        <v>431</v>
      </c>
      <c r="D664" s="564"/>
      <c r="E664" s="530"/>
      <c r="F664" s="530"/>
      <c r="G664" s="530"/>
      <c r="H664" s="530"/>
      <c r="I664" s="513"/>
      <c r="J664" s="514"/>
      <c r="K664" s="514"/>
      <c r="L664" s="514"/>
      <c r="M664" s="514"/>
      <c r="N664" s="514"/>
      <c r="O664" s="514"/>
      <c r="P664" s="514"/>
      <c r="Q664" s="514"/>
      <c r="R664" s="515"/>
      <c r="S664" s="515"/>
      <c r="T664" s="515"/>
      <c r="U664" s="515"/>
      <c r="V664" s="515"/>
      <c r="W664" s="515"/>
      <c r="X664" s="515"/>
      <c r="Y664" s="515"/>
    </row>
    <row r="665" spans="1:25" ht="15.75" customHeight="1">
      <c r="A665" s="717" t="s">
        <v>432</v>
      </c>
      <c r="B665" s="717"/>
      <c r="C665" s="717"/>
      <c r="D665" s="717"/>
      <c r="E665" s="719"/>
      <c r="F665" s="719"/>
      <c r="G665" s="719"/>
      <c r="H665" s="719"/>
      <c r="I665" s="513"/>
      <c r="J665" s="514"/>
      <c r="K665" s="514"/>
      <c r="L665" s="514"/>
      <c r="M665" s="514"/>
      <c r="N665" s="514"/>
      <c r="O665" s="514"/>
      <c r="P665" s="514"/>
      <c r="Q665" s="514"/>
      <c r="R665" s="515"/>
      <c r="S665" s="515"/>
      <c r="T665" s="515"/>
      <c r="U665" s="515"/>
      <c r="V665" s="515"/>
      <c r="W665" s="515"/>
      <c r="X665" s="515"/>
      <c r="Y665" s="515"/>
    </row>
    <row r="666" spans="1:25" ht="15.75" customHeight="1">
      <c r="A666" s="697" t="s">
        <v>155</v>
      </c>
      <c r="B666" s="527" t="s">
        <v>161</v>
      </c>
      <c r="C666" s="537" t="s">
        <v>1570</v>
      </c>
      <c r="D666" s="564"/>
      <c r="E666" s="530"/>
      <c r="F666" s="530"/>
      <c r="G666" s="530"/>
      <c r="H666" s="530"/>
      <c r="I666" s="513"/>
      <c r="J666" s="514"/>
      <c r="K666" s="514"/>
      <c r="L666" s="514"/>
      <c r="M666" s="514"/>
      <c r="N666" s="514"/>
      <c r="O666" s="514"/>
      <c r="P666" s="514"/>
      <c r="Q666" s="514"/>
      <c r="R666" s="515"/>
      <c r="S666" s="515"/>
      <c r="T666" s="515"/>
      <c r="U666" s="515"/>
      <c r="V666" s="515"/>
      <c r="W666" s="515"/>
      <c r="X666" s="515"/>
      <c r="Y666" s="515"/>
    </row>
    <row r="667" spans="1:25" ht="15.75" customHeight="1">
      <c r="A667" s="697"/>
      <c r="B667" s="527"/>
      <c r="C667" s="527" t="s">
        <v>433</v>
      </c>
      <c r="D667" s="564"/>
      <c r="E667" s="530"/>
      <c r="F667" s="530"/>
      <c r="G667" s="530"/>
      <c r="H667" s="530"/>
      <c r="I667" s="513"/>
      <c r="J667" s="514"/>
      <c r="K667" s="514"/>
      <c r="L667" s="514"/>
      <c r="M667" s="514"/>
      <c r="N667" s="514"/>
      <c r="O667" s="514"/>
      <c r="P667" s="514"/>
      <c r="Q667" s="514"/>
      <c r="R667" s="515"/>
      <c r="S667" s="515"/>
      <c r="T667" s="515"/>
      <c r="U667" s="515"/>
      <c r="V667" s="515"/>
      <c r="W667" s="515"/>
      <c r="X667" s="515"/>
      <c r="Y667" s="515"/>
    </row>
    <row r="668" spans="1:25" ht="15.75" customHeight="1">
      <c r="A668" s="697"/>
      <c r="B668" s="527"/>
      <c r="C668" s="553" t="s">
        <v>47</v>
      </c>
      <c r="D668" s="564"/>
      <c r="E668" s="530"/>
      <c r="F668" s="530"/>
      <c r="G668" s="530"/>
      <c r="H668" s="530"/>
      <c r="I668" s="513"/>
      <c r="J668" s="514"/>
      <c r="K668" s="514"/>
      <c r="L668" s="514"/>
      <c r="M668" s="514"/>
      <c r="N668" s="514"/>
      <c r="O668" s="514"/>
      <c r="P668" s="514"/>
      <c r="Q668" s="514"/>
      <c r="R668" s="515"/>
      <c r="S668" s="515"/>
      <c r="T668" s="515"/>
      <c r="U668" s="515"/>
      <c r="V668" s="515"/>
      <c r="W668" s="515"/>
      <c r="X668" s="515"/>
      <c r="Y668" s="515"/>
    </row>
    <row r="669" spans="1:25">
      <c r="A669" s="718"/>
      <c r="B669" s="533"/>
      <c r="C669" s="507" t="s">
        <v>1598</v>
      </c>
      <c r="D669" s="568"/>
      <c r="E669" s="535"/>
      <c r="F669" s="535"/>
      <c r="G669" s="535"/>
      <c r="H669" s="535"/>
      <c r="I669" s="513"/>
      <c r="J669" s="514"/>
      <c r="K669" s="514"/>
      <c r="L669" s="514"/>
      <c r="M669" s="514"/>
      <c r="N669" s="514"/>
      <c r="O669" s="514"/>
      <c r="P669" s="514"/>
      <c r="Q669" s="514"/>
      <c r="R669" s="515"/>
      <c r="S669" s="515"/>
      <c r="T669" s="515"/>
      <c r="U669" s="515"/>
      <c r="V669" s="515"/>
      <c r="W669" s="515"/>
      <c r="X669" s="515"/>
      <c r="Y669" s="515"/>
    </row>
    <row r="670" spans="1:25" ht="15.75" customHeight="1">
      <c r="A670" s="697" t="s">
        <v>434</v>
      </c>
      <c r="B670" s="698" t="s">
        <v>435</v>
      </c>
      <c r="C670" s="537" t="s">
        <v>1570</v>
      </c>
      <c r="D670" s="564"/>
      <c r="E670" s="530" t="s">
        <v>436</v>
      </c>
      <c r="F670" s="541">
        <v>3</v>
      </c>
      <c r="G670" s="530"/>
      <c r="H670" s="530"/>
      <c r="I670" s="513"/>
      <c r="J670" s="514"/>
      <c r="K670" s="514"/>
      <c r="L670" s="514"/>
      <c r="M670" s="514"/>
      <c r="N670" s="514"/>
      <c r="O670" s="514"/>
      <c r="P670" s="514"/>
      <c r="Q670" s="514"/>
      <c r="R670" s="515"/>
      <c r="S670" s="515"/>
      <c r="T670" s="515"/>
      <c r="U670" s="515"/>
      <c r="V670" s="515"/>
      <c r="W670" s="515"/>
      <c r="X670" s="515"/>
      <c r="Y670" s="515"/>
    </row>
    <row r="671" spans="1:25" ht="15.75" customHeight="1">
      <c r="A671" s="697"/>
      <c r="B671" s="698"/>
      <c r="C671" s="527" t="s">
        <v>433</v>
      </c>
      <c r="D671" s="564"/>
      <c r="E671" s="530"/>
      <c r="F671" s="530"/>
      <c r="G671" s="530"/>
      <c r="H671" s="530"/>
      <c r="I671" s="513"/>
      <c r="J671" s="514"/>
      <c r="K671" s="514"/>
      <c r="L671" s="514"/>
      <c r="M671" s="514"/>
      <c r="N671" s="514"/>
      <c r="O671" s="514"/>
      <c r="P671" s="514"/>
      <c r="Q671" s="514"/>
      <c r="R671" s="515"/>
      <c r="S671" s="515"/>
      <c r="T671" s="515"/>
      <c r="U671" s="515"/>
      <c r="V671" s="515"/>
      <c r="W671" s="515"/>
      <c r="X671" s="515"/>
      <c r="Y671" s="515"/>
    </row>
    <row r="672" spans="1:25" ht="15.75" customHeight="1">
      <c r="A672" s="697"/>
      <c r="B672" s="698"/>
      <c r="C672" s="553" t="s">
        <v>47</v>
      </c>
      <c r="D672" s="564"/>
      <c r="E672" s="530"/>
      <c r="F672" s="530"/>
      <c r="G672" s="530"/>
      <c r="H672" s="530"/>
      <c r="I672" s="513"/>
      <c r="J672" s="514"/>
      <c r="K672" s="514"/>
      <c r="L672" s="514"/>
      <c r="M672" s="514"/>
      <c r="N672" s="514"/>
      <c r="O672" s="514"/>
      <c r="P672" s="514"/>
      <c r="Q672" s="514"/>
      <c r="R672" s="515"/>
      <c r="S672" s="515"/>
      <c r="T672" s="515"/>
      <c r="U672" s="515"/>
      <c r="V672" s="515"/>
      <c r="W672" s="515"/>
      <c r="X672" s="515"/>
      <c r="Y672" s="515"/>
    </row>
    <row r="673" spans="1:25">
      <c r="A673" s="697"/>
      <c r="B673" s="698"/>
      <c r="C673" s="495" t="s">
        <v>431</v>
      </c>
      <c r="D673" s="564"/>
      <c r="E673" s="530"/>
      <c r="F673" s="530"/>
      <c r="G673" s="530"/>
      <c r="H673" s="530"/>
      <c r="I673" s="513"/>
      <c r="J673" s="514"/>
      <c r="K673" s="514"/>
      <c r="L673" s="514"/>
      <c r="M673" s="514"/>
      <c r="N673" s="514"/>
      <c r="O673" s="514"/>
      <c r="P673" s="514"/>
      <c r="Q673" s="514"/>
      <c r="R673" s="515"/>
      <c r="S673" s="515"/>
      <c r="T673" s="515"/>
      <c r="U673" s="515"/>
      <c r="V673" s="515"/>
      <c r="W673" s="515"/>
      <c r="X673" s="515"/>
      <c r="Y673" s="515"/>
    </row>
    <row r="674" spans="1:25" ht="51" customHeight="1">
      <c r="A674" s="697"/>
      <c r="B674" s="698"/>
      <c r="C674" s="527" t="s">
        <v>437</v>
      </c>
      <c r="D674" s="564"/>
      <c r="E674" s="530"/>
      <c r="F674" s="530"/>
      <c r="G674" s="530"/>
      <c r="H674" s="530"/>
      <c r="I674" s="513"/>
      <c r="J674" s="514"/>
      <c r="K674" s="514"/>
      <c r="L674" s="514"/>
      <c r="M674" s="514"/>
      <c r="N674" s="514"/>
      <c r="O674" s="514"/>
      <c r="P674" s="514"/>
      <c r="Q674" s="514"/>
      <c r="R674" s="515"/>
      <c r="S674" s="515"/>
      <c r="T674" s="515"/>
      <c r="U674" s="515"/>
      <c r="V674" s="515"/>
      <c r="W674" s="515"/>
      <c r="X674" s="515"/>
      <c r="Y674" s="515"/>
    </row>
    <row r="675" spans="1:25" ht="15.75" customHeight="1">
      <c r="A675" s="717" t="s">
        <v>438</v>
      </c>
      <c r="B675" s="717"/>
      <c r="C675" s="717"/>
      <c r="D675" s="717"/>
      <c r="E675" s="719"/>
      <c r="F675" s="719"/>
      <c r="G675" s="719"/>
      <c r="H675" s="719"/>
      <c r="I675" s="513"/>
      <c r="J675" s="514"/>
      <c r="K675" s="514"/>
      <c r="L675" s="514"/>
      <c r="M675" s="514"/>
      <c r="N675" s="514"/>
      <c r="O675" s="514"/>
      <c r="P675" s="514"/>
      <c r="Q675" s="514"/>
      <c r="R675" s="515"/>
      <c r="S675" s="515"/>
      <c r="T675" s="515"/>
      <c r="U675" s="515"/>
      <c r="V675" s="515"/>
      <c r="W675" s="515"/>
      <c r="X675" s="515"/>
      <c r="Y675" s="515"/>
    </row>
    <row r="676" spans="1:25" ht="15.75" customHeight="1">
      <c r="A676" s="697" t="s">
        <v>155</v>
      </c>
      <c r="B676" s="527" t="s">
        <v>161</v>
      </c>
      <c r="C676" s="553" t="s">
        <v>47</v>
      </c>
      <c r="D676" s="564"/>
      <c r="E676" s="530"/>
      <c r="F676" s="530"/>
      <c r="G676" s="530"/>
      <c r="H676" s="530"/>
      <c r="I676" s="513"/>
      <c r="J676" s="514"/>
      <c r="K676" s="514"/>
      <c r="L676" s="514"/>
      <c r="M676" s="514"/>
      <c r="N676" s="514"/>
      <c r="O676" s="514"/>
      <c r="P676" s="514"/>
      <c r="Q676" s="514"/>
      <c r="R676" s="515"/>
      <c r="S676" s="515"/>
      <c r="T676" s="515"/>
      <c r="U676" s="515"/>
      <c r="V676" s="515"/>
      <c r="W676" s="515"/>
      <c r="X676" s="515"/>
      <c r="Y676" s="515"/>
    </row>
    <row r="677" spans="1:25" ht="15.75" customHeight="1">
      <c r="A677" s="697"/>
      <c r="B677" s="527"/>
      <c r="C677" s="495" t="s">
        <v>138</v>
      </c>
      <c r="D677" s="564"/>
      <c r="E677" s="530"/>
      <c r="F677" s="530"/>
      <c r="G677" s="530"/>
      <c r="H677" s="530"/>
      <c r="I677" s="513"/>
      <c r="J677" s="514"/>
      <c r="K677" s="514"/>
      <c r="L677" s="514"/>
      <c r="M677" s="514"/>
      <c r="N677" s="514"/>
      <c r="O677" s="514"/>
      <c r="P677" s="514"/>
      <c r="Q677" s="514"/>
      <c r="R677" s="515"/>
      <c r="S677" s="515"/>
      <c r="T677" s="515"/>
      <c r="U677" s="515"/>
      <c r="V677" s="515"/>
      <c r="W677" s="515"/>
      <c r="X677" s="515"/>
      <c r="Y677" s="515"/>
    </row>
    <row r="678" spans="1:25">
      <c r="A678" s="718"/>
      <c r="B678" s="533"/>
      <c r="C678" s="507" t="s">
        <v>1598</v>
      </c>
      <c r="D678" s="568"/>
      <c r="E678" s="535"/>
      <c r="F678" s="535"/>
      <c r="G678" s="535"/>
      <c r="H678" s="535"/>
      <c r="I678" s="513"/>
      <c r="J678" s="514"/>
      <c r="K678" s="514"/>
      <c r="L678" s="514"/>
      <c r="M678" s="514"/>
      <c r="N678" s="514"/>
      <c r="O678" s="514"/>
      <c r="P678" s="514"/>
      <c r="Q678" s="514"/>
      <c r="R678" s="515"/>
      <c r="S678" s="515"/>
      <c r="T678" s="515"/>
      <c r="U678" s="515"/>
      <c r="V678" s="515"/>
      <c r="W678" s="515"/>
      <c r="X678" s="515"/>
      <c r="Y678" s="515"/>
    </row>
    <row r="679" spans="1:25" ht="15.75" customHeight="1">
      <c r="A679" s="697" t="s">
        <v>439</v>
      </c>
      <c r="B679" s="698" t="s">
        <v>440</v>
      </c>
      <c r="C679" s="553" t="s">
        <v>47</v>
      </c>
      <c r="D679" s="564"/>
      <c r="E679" s="530" t="s">
        <v>99</v>
      </c>
      <c r="F679" s="541">
        <v>3</v>
      </c>
      <c r="G679" s="530"/>
      <c r="H679" s="530"/>
      <c r="I679" s="513"/>
      <c r="J679" s="514"/>
      <c r="K679" s="514"/>
      <c r="L679" s="514"/>
      <c r="M679" s="514"/>
      <c r="N679" s="514"/>
      <c r="O679" s="514"/>
      <c r="P679" s="514"/>
      <c r="Q679" s="514"/>
      <c r="R679" s="515"/>
      <c r="S679" s="515"/>
      <c r="T679" s="515"/>
      <c r="U679" s="515"/>
      <c r="V679" s="515"/>
      <c r="W679" s="515"/>
      <c r="X679" s="515"/>
      <c r="Y679" s="515"/>
    </row>
    <row r="680" spans="1:25">
      <c r="A680" s="697"/>
      <c r="B680" s="698"/>
      <c r="C680" s="495" t="s">
        <v>138</v>
      </c>
      <c r="D680" s="564"/>
      <c r="E680" s="530"/>
      <c r="F680" s="530"/>
      <c r="G680" s="530"/>
      <c r="H680" s="530"/>
      <c r="I680" s="513"/>
      <c r="J680" s="514"/>
      <c r="K680" s="514"/>
      <c r="L680" s="514"/>
      <c r="M680" s="514"/>
      <c r="N680" s="514"/>
      <c r="O680" s="514"/>
      <c r="P680" s="514"/>
      <c r="Q680" s="514"/>
      <c r="R680" s="515"/>
      <c r="S680" s="515"/>
      <c r="T680" s="515"/>
      <c r="U680" s="515"/>
      <c r="V680" s="515"/>
      <c r="W680" s="515"/>
      <c r="X680" s="515"/>
      <c r="Y680" s="515"/>
    </row>
    <row r="681" spans="1:25" ht="15.75" customHeight="1">
      <c r="A681" s="697"/>
      <c r="B681" s="698"/>
      <c r="C681" s="527" t="s">
        <v>357</v>
      </c>
      <c r="D681" s="564"/>
      <c r="E681" s="530"/>
      <c r="F681" s="530"/>
      <c r="G681" s="530"/>
      <c r="H681" s="530"/>
      <c r="I681" s="513"/>
      <c r="J681" s="514"/>
      <c r="K681" s="514"/>
      <c r="L681" s="514"/>
      <c r="M681" s="514"/>
      <c r="N681" s="514"/>
      <c r="O681" s="514"/>
      <c r="P681" s="514"/>
      <c r="Q681" s="514"/>
      <c r="R681" s="515"/>
      <c r="S681" s="515"/>
      <c r="T681" s="515"/>
      <c r="U681" s="515"/>
      <c r="V681" s="515"/>
      <c r="W681" s="515"/>
      <c r="X681" s="515"/>
      <c r="Y681" s="515"/>
    </row>
    <row r="682" spans="1:25" ht="26.75" customHeight="1">
      <c r="A682" s="697"/>
      <c r="B682" s="698"/>
      <c r="C682" s="492" t="s">
        <v>441</v>
      </c>
      <c r="D682" s="564"/>
      <c r="E682" s="530"/>
      <c r="F682" s="530"/>
      <c r="G682" s="530"/>
      <c r="H682" s="530"/>
      <c r="I682" s="513"/>
      <c r="J682" s="514"/>
      <c r="K682" s="514"/>
      <c r="L682" s="514"/>
      <c r="M682" s="514"/>
      <c r="N682" s="514"/>
      <c r="O682" s="514"/>
      <c r="P682" s="514"/>
      <c r="Q682" s="514"/>
      <c r="R682" s="515"/>
      <c r="S682" s="515"/>
      <c r="T682" s="515"/>
      <c r="U682" s="515"/>
      <c r="V682" s="515"/>
      <c r="W682" s="515"/>
      <c r="X682" s="515"/>
      <c r="Y682" s="515"/>
    </row>
    <row r="683" spans="1:25" ht="15.75" customHeight="1">
      <c r="A683" s="697"/>
      <c r="B683" s="698"/>
      <c r="C683" s="492" t="s">
        <v>442</v>
      </c>
      <c r="D683" s="564"/>
      <c r="E683" s="530"/>
      <c r="F683" s="530"/>
      <c r="G683" s="530"/>
      <c r="H683" s="530"/>
      <c r="I683" s="513"/>
      <c r="J683" s="514"/>
      <c r="K683" s="514"/>
      <c r="L683" s="514"/>
      <c r="M683" s="514"/>
      <c r="N683" s="514"/>
      <c r="O683" s="514"/>
      <c r="P683" s="514"/>
      <c r="Q683" s="514"/>
      <c r="R683" s="515"/>
      <c r="S683" s="515"/>
      <c r="T683" s="515"/>
      <c r="U683" s="515"/>
      <c r="V683" s="515"/>
      <c r="W683" s="515"/>
      <c r="X683" s="515"/>
      <c r="Y683" s="515"/>
    </row>
    <row r="684" spans="1:25" ht="52" customHeight="1">
      <c r="A684" s="697"/>
      <c r="B684" s="698"/>
      <c r="C684" s="527" t="s">
        <v>443</v>
      </c>
      <c r="D684" s="564"/>
      <c r="E684" s="530"/>
      <c r="F684" s="530"/>
      <c r="G684" s="530"/>
      <c r="H684" s="530"/>
      <c r="I684" s="513"/>
      <c r="J684" s="514"/>
      <c r="K684" s="514"/>
      <c r="L684" s="514"/>
      <c r="M684" s="514"/>
      <c r="N684" s="514"/>
      <c r="O684" s="514"/>
      <c r="P684" s="514"/>
      <c r="Q684" s="514"/>
      <c r="R684" s="515"/>
      <c r="S684" s="515"/>
      <c r="T684" s="515"/>
      <c r="U684" s="515"/>
      <c r="V684" s="515"/>
      <c r="W684" s="515"/>
      <c r="X684" s="515"/>
      <c r="Y684" s="515"/>
    </row>
    <row r="685" spans="1:25" ht="15.75" customHeight="1">
      <c r="A685" s="717" t="s">
        <v>444</v>
      </c>
      <c r="B685" s="717"/>
      <c r="C685" s="717"/>
      <c r="D685" s="717"/>
      <c r="E685" s="566"/>
      <c r="F685" s="566"/>
      <c r="G685" s="566"/>
      <c r="H685" s="566"/>
      <c r="I685" s="513"/>
      <c r="J685" s="514"/>
      <c r="K685" s="514"/>
      <c r="L685" s="514"/>
      <c r="M685" s="514"/>
      <c r="N685" s="514"/>
      <c r="O685" s="514"/>
      <c r="P685" s="514"/>
      <c r="Q685" s="514"/>
      <c r="R685" s="515"/>
      <c r="S685" s="515"/>
      <c r="T685" s="515"/>
      <c r="U685" s="515"/>
      <c r="V685" s="515"/>
      <c r="W685" s="515"/>
      <c r="X685" s="515"/>
      <c r="Y685" s="515"/>
    </row>
    <row r="686" spans="1:25" ht="15.75" customHeight="1">
      <c r="A686" s="697" t="s">
        <v>155</v>
      </c>
      <c r="B686" s="527" t="s">
        <v>161</v>
      </c>
      <c r="C686" s="537" t="s">
        <v>26</v>
      </c>
      <c r="D686" s="564"/>
      <c r="E686" s="530"/>
      <c r="F686" s="530"/>
      <c r="G686" s="530"/>
      <c r="H686" s="530"/>
      <c r="I686" s="513"/>
      <c r="J686" s="514"/>
      <c r="K686" s="514"/>
      <c r="L686" s="514"/>
      <c r="M686" s="514"/>
      <c r="N686" s="514"/>
      <c r="O686" s="514"/>
      <c r="P686" s="514"/>
      <c r="Q686" s="514"/>
      <c r="R686" s="515"/>
      <c r="S686" s="515"/>
      <c r="T686" s="515"/>
      <c r="U686" s="515"/>
      <c r="V686" s="515"/>
      <c r="W686" s="515"/>
      <c r="X686" s="515"/>
      <c r="Y686" s="515"/>
    </row>
    <row r="687" spans="1:25" ht="15.75" customHeight="1">
      <c r="A687" s="697"/>
      <c r="B687" s="527"/>
      <c r="C687" s="527" t="s">
        <v>354</v>
      </c>
      <c r="D687" s="564"/>
      <c r="E687" s="530"/>
      <c r="F687" s="530"/>
      <c r="G687" s="530"/>
      <c r="H687" s="530"/>
      <c r="I687" s="513"/>
      <c r="J687" s="514"/>
      <c r="K687" s="514"/>
      <c r="L687" s="514"/>
      <c r="M687" s="514"/>
      <c r="N687" s="514"/>
      <c r="O687" s="514"/>
      <c r="P687" s="514"/>
      <c r="Q687" s="514"/>
      <c r="R687" s="515"/>
      <c r="S687" s="515"/>
      <c r="T687" s="515"/>
      <c r="U687" s="515"/>
      <c r="V687" s="515"/>
      <c r="W687" s="515"/>
      <c r="X687" s="515"/>
      <c r="Y687" s="515"/>
    </row>
    <row r="688" spans="1:25" ht="15.75" customHeight="1">
      <c r="A688" s="697"/>
      <c r="B688" s="527"/>
      <c r="C688" s="537" t="s">
        <v>38</v>
      </c>
      <c r="D688" s="564"/>
      <c r="E688" s="530"/>
      <c r="F688" s="530"/>
      <c r="G688" s="530"/>
      <c r="H688" s="530"/>
      <c r="I688" s="513"/>
      <c r="J688" s="514"/>
      <c r="K688" s="514"/>
      <c r="L688" s="514"/>
      <c r="M688" s="514"/>
      <c r="N688" s="514"/>
      <c r="O688" s="514"/>
      <c r="P688" s="514"/>
      <c r="Q688" s="514"/>
      <c r="R688" s="515"/>
      <c r="S688" s="515"/>
      <c r="T688" s="515"/>
      <c r="U688" s="515"/>
      <c r="V688" s="515"/>
      <c r="W688" s="515"/>
      <c r="X688" s="515"/>
      <c r="Y688" s="515"/>
    </row>
    <row r="689" spans="1:25" ht="15.75" customHeight="1">
      <c r="A689" s="697"/>
      <c r="B689" s="527"/>
      <c r="C689" s="527" t="s">
        <v>445</v>
      </c>
      <c r="D689" s="564"/>
      <c r="E689" s="530"/>
      <c r="F689" s="530"/>
      <c r="G689" s="530"/>
      <c r="H689" s="530"/>
      <c r="I689" s="513"/>
      <c r="J689" s="514"/>
      <c r="K689" s="514"/>
      <c r="L689" s="514"/>
      <c r="M689" s="514"/>
      <c r="N689" s="514"/>
      <c r="O689" s="514"/>
      <c r="P689" s="514"/>
      <c r="Q689" s="514"/>
      <c r="R689" s="515"/>
      <c r="S689" s="515"/>
      <c r="T689" s="515"/>
      <c r="U689" s="515"/>
      <c r="V689" s="515"/>
      <c r="W689" s="515"/>
      <c r="X689" s="515"/>
      <c r="Y689" s="515"/>
    </row>
    <row r="690" spans="1:25" ht="15.75" customHeight="1">
      <c r="A690" s="697"/>
      <c r="B690" s="527"/>
      <c r="C690" s="553" t="s">
        <v>47</v>
      </c>
      <c r="D690" s="564"/>
      <c r="E690" s="530"/>
      <c r="F690" s="530"/>
      <c r="G690" s="530"/>
      <c r="H690" s="530"/>
      <c r="I690" s="513"/>
      <c r="J690" s="514"/>
      <c r="K690" s="514"/>
      <c r="L690" s="514"/>
      <c r="M690" s="514"/>
      <c r="N690" s="514"/>
      <c r="O690" s="514"/>
      <c r="P690" s="514"/>
      <c r="Q690" s="514"/>
      <c r="R690" s="515"/>
      <c r="S690" s="515"/>
      <c r="T690" s="515"/>
      <c r="U690" s="515"/>
      <c r="V690" s="515"/>
      <c r="W690" s="515"/>
      <c r="X690" s="515"/>
      <c r="Y690" s="515"/>
    </row>
    <row r="691" spans="1:25" ht="15.75" customHeight="1">
      <c r="A691" s="697"/>
      <c r="B691" s="527"/>
      <c r="C691" s="527" t="s">
        <v>1595</v>
      </c>
      <c r="D691" s="564"/>
      <c r="E691" s="530"/>
      <c r="F691" s="530"/>
      <c r="G691" s="530"/>
      <c r="H691" s="530"/>
      <c r="I691" s="513"/>
      <c r="J691" s="514"/>
      <c r="K691" s="514"/>
      <c r="L691" s="514"/>
      <c r="M691" s="514"/>
      <c r="N691" s="514"/>
      <c r="O691" s="514"/>
      <c r="P691" s="514"/>
      <c r="Q691" s="514"/>
      <c r="R691" s="515"/>
      <c r="S691" s="515"/>
      <c r="T691" s="515"/>
      <c r="U691" s="515"/>
      <c r="V691" s="515"/>
      <c r="W691" s="515"/>
      <c r="X691" s="515"/>
      <c r="Y691" s="515"/>
    </row>
    <row r="692" spans="1:25" ht="15.75" customHeight="1">
      <c r="A692" s="697"/>
      <c r="B692" s="527"/>
      <c r="C692" s="495" t="s">
        <v>138</v>
      </c>
      <c r="D692" s="564"/>
      <c r="E692" s="530"/>
      <c r="F692" s="530"/>
      <c r="G692" s="530"/>
      <c r="H692" s="530"/>
      <c r="I692" s="513"/>
      <c r="J692" s="514"/>
      <c r="K692" s="514"/>
      <c r="L692" s="514"/>
      <c r="M692" s="514"/>
      <c r="N692" s="514"/>
      <c r="O692" s="514"/>
      <c r="P692" s="514"/>
      <c r="Q692" s="514"/>
      <c r="R692" s="515"/>
      <c r="S692" s="515"/>
      <c r="T692" s="515"/>
      <c r="U692" s="515"/>
      <c r="V692" s="515"/>
      <c r="W692" s="515"/>
      <c r="X692" s="515"/>
      <c r="Y692" s="515"/>
    </row>
    <row r="693" spans="1:25">
      <c r="A693" s="718"/>
      <c r="B693" s="533"/>
      <c r="C693" s="507" t="s">
        <v>1598</v>
      </c>
      <c r="D693" s="568"/>
      <c r="E693" s="535"/>
      <c r="F693" s="535"/>
      <c r="G693" s="535"/>
      <c r="H693" s="535"/>
      <c r="I693" s="513"/>
      <c r="J693" s="514"/>
      <c r="K693" s="514"/>
      <c r="L693" s="514"/>
      <c r="M693" s="514"/>
      <c r="N693" s="514"/>
      <c r="O693" s="514"/>
      <c r="P693" s="514"/>
      <c r="Q693" s="514"/>
      <c r="R693" s="515"/>
      <c r="S693" s="515"/>
      <c r="T693" s="515"/>
      <c r="U693" s="515"/>
      <c r="V693" s="515"/>
      <c r="W693" s="515"/>
      <c r="X693" s="515"/>
      <c r="Y693" s="515"/>
    </row>
    <row r="694" spans="1:25" ht="15.75" customHeight="1">
      <c r="A694" s="697" t="s">
        <v>446</v>
      </c>
      <c r="B694" s="698" t="s">
        <v>447</v>
      </c>
      <c r="C694" s="553" t="s">
        <v>47</v>
      </c>
      <c r="D694" s="564"/>
      <c r="E694" s="530" t="s">
        <v>99</v>
      </c>
      <c r="F694" s="541">
        <v>3</v>
      </c>
      <c r="G694" s="530"/>
      <c r="H694" s="530"/>
      <c r="I694" s="513"/>
      <c r="J694" s="514"/>
      <c r="K694" s="514"/>
      <c r="L694" s="514"/>
      <c r="M694" s="514"/>
      <c r="N694" s="514"/>
      <c r="O694" s="514"/>
      <c r="P694" s="514"/>
      <c r="Q694" s="514"/>
      <c r="R694" s="515"/>
      <c r="S694" s="515"/>
      <c r="T694" s="515"/>
      <c r="U694" s="515"/>
      <c r="V694" s="515"/>
      <c r="W694" s="515"/>
      <c r="X694" s="515"/>
      <c r="Y694" s="515"/>
    </row>
    <row r="695" spans="1:25">
      <c r="A695" s="697"/>
      <c r="B695" s="698"/>
      <c r="C695" s="492" t="s">
        <v>138</v>
      </c>
      <c r="D695" s="564"/>
      <c r="E695" s="530"/>
      <c r="F695" s="530"/>
      <c r="G695" s="530"/>
      <c r="H695" s="530"/>
      <c r="I695" s="513"/>
      <c r="J695" s="514"/>
      <c r="K695" s="514"/>
      <c r="L695" s="514"/>
      <c r="M695" s="514"/>
      <c r="N695" s="514"/>
      <c r="O695" s="514"/>
      <c r="P695" s="514"/>
      <c r="Q695" s="514"/>
      <c r="R695" s="515"/>
      <c r="S695" s="515"/>
      <c r="T695" s="515"/>
      <c r="U695" s="515"/>
      <c r="V695" s="515"/>
      <c r="W695" s="515"/>
      <c r="X695" s="515"/>
      <c r="Y695" s="515"/>
    </row>
    <row r="696" spans="1:25" ht="15.75" customHeight="1">
      <c r="A696" s="697"/>
      <c r="B696" s="698"/>
      <c r="C696" s="527" t="s">
        <v>357</v>
      </c>
      <c r="D696" s="564"/>
      <c r="E696" s="530"/>
      <c r="F696" s="530"/>
      <c r="G696" s="530"/>
      <c r="H696" s="530"/>
      <c r="I696" s="513"/>
      <c r="J696" s="514"/>
      <c r="K696" s="514"/>
      <c r="L696" s="514"/>
      <c r="M696" s="514"/>
      <c r="N696" s="514"/>
      <c r="O696" s="514"/>
      <c r="P696" s="514"/>
      <c r="Q696" s="514"/>
      <c r="R696" s="515"/>
      <c r="S696" s="515"/>
      <c r="T696" s="515"/>
      <c r="U696" s="515"/>
      <c r="V696" s="515"/>
      <c r="W696" s="515"/>
      <c r="X696" s="515"/>
      <c r="Y696" s="515"/>
    </row>
    <row r="697" spans="1:25" ht="26.75" customHeight="1">
      <c r="A697" s="697"/>
      <c r="B697" s="698"/>
      <c r="C697" s="492" t="s">
        <v>441</v>
      </c>
      <c r="D697" s="564"/>
      <c r="E697" s="530"/>
      <c r="F697" s="530"/>
      <c r="G697" s="530"/>
      <c r="H697" s="530"/>
      <c r="I697" s="513"/>
      <c r="J697" s="514"/>
      <c r="K697" s="514"/>
      <c r="L697" s="514"/>
      <c r="M697" s="514"/>
      <c r="N697" s="514"/>
      <c r="O697" s="514"/>
      <c r="P697" s="514"/>
      <c r="Q697" s="514"/>
      <c r="R697" s="515"/>
      <c r="S697" s="515"/>
      <c r="T697" s="515"/>
      <c r="U697" s="515"/>
      <c r="V697" s="515"/>
      <c r="W697" s="515"/>
      <c r="X697" s="515"/>
      <c r="Y697" s="515"/>
    </row>
    <row r="698" spans="1:25" ht="39.25" customHeight="1">
      <c r="A698" s="697"/>
      <c r="B698" s="698"/>
      <c r="C698" s="527" t="s">
        <v>448</v>
      </c>
      <c r="D698" s="564"/>
      <c r="E698" s="530"/>
      <c r="F698" s="530"/>
      <c r="G698" s="530"/>
      <c r="H698" s="530"/>
      <c r="I698" s="513"/>
      <c r="J698" s="514"/>
      <c r="K698" s="514"/>
      <c r="L698" s="514"/>
      <c r="M698" s="514"/>
      <c r="N698" s="514"/>
      <c r="O698" s="514"/>
      <c r="P698" s="514"/>
      <c r="Q698" s="514"/>
      <c r="R698" s="515"/>
      <c r="S698" s="515"/>
      <c r="T698" s="515"/>
      <c r="U698" s="515"/>
      <c r="V698" s="515"/>
      <c r="W698" s="515"/>
      <c r="X698" s="515"/>
      <c r="Y698" s="515"/>
    </row>
    <row r="699" spans="1:25" ht="15.75" customHeight="1">
      <c r="A699" s="717" t="s">
        <v>449</v>
      </c>
      <c r="B699" s="717"/>
      <c r="C699" s="717"/>
      <c r="D699" s="717"/>
      <c r="E699" s="566"/>
      <c r="F699" s="566"/>
      <c r="G699" s="566"/>
      <c r="H699" s="566"/>
      <c r="I699" s="513"/>
      <c r="J699" s="514"/>
      <c r="K699" s="514"/>
      <c r="L699" s="514"/>
      <c r="M699" s="514"/>
      <c r="N699" s="514"/>
      <c r="O699" s="514"/>
      <c r="P699" s="514"/>
      <c r="Q699" s="514"/>
      <c r="R699" s="515"/>
      <c r="S699" s="515"/>
      <c r="T699" s="515"/>
      <c r="U699" s="515"/>
      <c r="V699" s="515"/>
      <c r="W699" s="515"/>
      <c r="X699" s="515"/>
      <c r="Y699" s="515"/>
    </row>
    <row r="700" spans="1:25" ht="15.75" customHeight="1">
      <c r="A700" s="697" t="s">
        <v>155</v>
      </c>
      <c r="B700" s="527" t="s">
        <v>161</v>
      </c>
      <c r="C700" s="537" t="s">
        <v>26</v>
      </c>
      <c r="D700" s="564"/>
      <c r="E700" s="530"/>
      <c r="F700" s="530"/>
      <c r="G700" s="530"/>
      <c r="H700" s="530"/>
      <c r="I700" s="513"/>
      <c r="J700" s="514"/>
      <c r="K700" s="514"/>
      <c r="L700" s="514"/>
      <c r="M700" s="514"/>
      <c r="N700" s="514"/>
      <c r="O700" s="514"/>
      <c r="P700" s="514"/>
      <c r="Q700" s="514"/>
      <c r="R700" s="515"/>
      <c r="S700" s="515"/>
      <c r="T700" s="515"/>
      <c r="U700" s="515"/>
      <c r="V700" s="515"/>
      <c r="W700" s="515"/>
      <c r="X700" s="515"/>
      <c r="Y700" s="515"/>
    </row>
    <row r="701" spans="1:25" ht="15.75" customHeight="1">
      <c r="A701" s="697"/>
      <c r="B701" s="527"/>
      <c r="C701" s="527" t="s">
        <v>354</v>
      </c>
      <c r="D701" s="564"/>
      <c r="E701" s="530"/>
      <c r="F701" s="530"/>
      <c r="G701" s="530"/>
      <c r="H701" s="530"/>
      <c r="I701" s="513"/>
      <c r="J701" s="514"/>
      <c r="K701" s="514"/>
      <c r="L701" s="514"/>
      <c r="M701" s="514"/>
      <c r="N701" s="514"/>
      <c r="O701" s="514"/>
      <c r="P701" s="514"/>
      <c r="Q701" s="514"/>
      <c r="R701" s="515"/>
      <c r="S701" s="515"/>
      <c r="T701" s="515"/>
      <c r="U701" s="515"/>
      <c r="V701" s="515"/>
      <c r="W701" s="515"/>
      <c r="X701" s="515"/>
      <c r="Y701" s="515"/>
    </row>
    <row r="702" spans="1:25" ht="15.75" customHeight="1">
      <c r="A702" s="697"/>
      <c r="B702" s="527"/>
      <c r="C702" s="537" t="s">
        <v>38</v>
      </c>
      <c r="D702" s="564"/>
      <c r="E702" s="530"/>
      <c r="F702" s="530"/>
      <c r="G702" s="530"/>
      <c r="H702" s="530"/>
      <c r="I702" s="513"/>
      <c r="J702" s="514"/>
      <c r="K702" s="514"/>
      <c r="L702" s="514"/>
      <c r="M702" s="514"/>
      <c r="N702" s="514"/>
      <c r="O702" s="514"/>
      <c r="P702" s="514"/>
      <c r="Q702" s="514"/>
      <c r="R702" s="515"/>
      <c r="S702" s="515"/>
      <c r="T702" s="515"/>
      <c r="U702" s="515"/>
      <c r="V702" s="515"/>
      <c r="W702" s="515"/>
      <c r="X702" s="515"/>
      <c r="Y702" s="515"/>
    </row>
    <row r="703" spans="1:25" ht="15.75" customHeight="1">
      <c r="A703" s="697"/>
      <c r="B703" s="527"/>
      <c r="C703" s="527" t="s">
        <v>450</v>
      </c>
      <c r="D703" s="564"/>
      <c r="E703" s="530"/>
      <c r="F703" s="530"/>
      <c r="G703" s="530"/>
      <c r="H703" s="530"/>
      <c r="I703" s="513"/>
      <c r="J703" s="514"/>
      <c r="K703" s="514"/>
      <c r="L703" s="514"/>
      <c r="M703" s="514"/>
      <c r="N703" s="514"/>
      <c r="O703" s="514"/>
      <c r="P703" s="514"/>
      <c r="Q703" s="514"/>
      <c r="R703" s="515"/>
      <c r="S703" s="515"/>
      <c r="T703" s="515"/>
      <c r="U703" s="515"/>
      <c r="V703" s="515"/>
      <c r="W703" s="515"/>
      <c r="X703" s="515"/>
      <c r="Y703" s="515"/>
    </row>
    <row r="704" spans="1:25" ht="15.75" customHeight="1">
      <c r="A704" s="697"/>
      <c r="B704" s="527"/>
      <c r="C704" s="553" t="s">
        <v>47</v>
      </c>
      <c r="D704" s="564"/>
      <c r="E704" s="530"/>
      <c r="F704" s="530"/>
      <c r="G704" s="530"/>
      <c r="H704" s="530"/>
      <c r="I704" s="513"/>
      <c r="J704" s="514"/>
      <c r="K704" s="514"/>
      <c r="L704" s="514"/>
      <c r="M704" s="514"/>
      <c r="N704" s="514"/>
      <c r="O704" s="514"/>
      <c r="P704" s="514"/>
      <c r="Q704" s="514"/>
      <c r="R704" s="515"/>
      <c r="S704" s="515"/>
      <c r="T704" s="515"/>
      <c r="U704" s="515"/>
      <c r="V704" s="515"/>
      <c r="W704" s="515"/>
      <c r="X704" s="515"/>
      <c r="Y704" s="515"/>
    </row>
    <row r="705" spans="1:25" ht="15.75" customHeight="1">
      <c r="A705" s="697"/>
      <c r="B705" s="527"/>
      <c r="C705" s="495" t="s">
        <v>73</v>
      </c>
      <c r="D705" s="564"/>
      <c r="E705" s="530"/>
      <c r="F705" s="530"/>
      <c r="G705" s="530"/>
      <c r="H705" s="530"/>
      <c r="I705" s="513"/>
      <c r="J705" s="514"/>
      <c r="K705" s="514"/>
      <c r="L705" s="514"/>
      <c r="M705" s="514"/>
      <c r="N705" s="514"/>
      <c r="O705" s="514"/>
      <c r="P705" s="514"/>
      <c r="Q705" s="514"/>
      <c r="R705" s="515"/>
      <c r="S705" s="515"/>
      <c r="T705" s="515"/>
      <c r="U705" s="515"/>
      <c r="V705" s="515"/>
      <c r="W705" s="515"/>
      <c r="X705" s="515"/>
      <c r="Y705" s="515"/>
    </row>
    <row r="706" spans="1:25" ht="15.75" customHeight="1">
      <c r="A706" s="718"/>
      <c r="B706" s="533"/>
      <c r="C706" s="533" t="s">
        <v>451</v>
      </c>
      <c r="D706" s="568"/>
      <c r="E706" s="535"/>
      <c r="F706" s="535"/>
      <c r="G706" s="535"/>
      <c r="H706" s="535"/>
      <c r="I706" s="513"/>
      <c r="J706" s="514"/>
      <c r="K706" s="514"/>
      <c r="L706" s="514"/>
      <c r="M706" s="514"/>
      <c r="N706" s="514"/>
      <c r="O706" s="514"/>
      <c r="P706" s="514"/>
      <c r="Q706" s="514"/>
      <c r="R706" s="515"/>
      <c r="S706" s="515"/>
      <c r="T706" s="515"/>
      <c r="U706" s="515"/>
      <c r="V706" s="515"/>
      <c r="W706" s="515"/>
      <c r="X706" s="515"/>
      <c r="Y706" s="515"/>
    </row>
    <row r="707" spans="1:25" ht="15.75" customHeight="1">
      <c r="A707" s="697" t="s">
        <v>452</v>
      </c>
      <c r="B707" s="698" t="s">
        <v>453</v>
      </c>
      <c r="C707" s="537" t="s">
        <v>26</v>
      </c>
      <c r="D707" s="564"/>
      <c r="E707" s="530" t="s">
        <v>99</v>
      </c>
      <c r="F707" s="530" t="s">
        <v>150</v>
      </c>
      <c r="G707" s="530"/>
      <c r="H707" s="530"/>
      <c r="I707" s="513"/>
      <c r="J707" s="514"/>
      <c r="K707" s="514"/>
      <c r="L707" s="514"/>
      <c r="M707" s="514"/>
      <c r="N707" s="514"/>
      <c r="O707" s="514"/>
      <c r="P707" s="514"/>
      <c r="Q707" s="514"/>
      <c r="R707" s="515"/>
      <c r="S707" s="515"/>
      <c r="T707" s="515"/>
      <c r="U707" s="515"/>
      <c r="V707" s="515"/>
      <c r="W707" s="515"/>
      <c r="X707" s="515"/>
      <c r="Y707" s="515"/>
    </row>
    <row r="708" spans="1:25" ht="15.75" customHeight="1">
      <c r="A708" s="697"/>
      <c r="B708" s="698"/>
      <c r="C708" s="527" t="s">
        <v>354</v>
      </c>
      <c r="D708" s="564"/>
      <c r="E708" s="530"/>
      <c r="F708" s="530"/>
      <c r="G708" s="530"/>
      <c r="H708" s="530"/>
      <c r="I708" s="513"/>
      <c r="J708" s="514"/>
      <c r="K708" s="514"/>
      <c r="L708" s="514"/>
      <c r="M708" s="514"/>
      <c r="N708" s="514"/>
      <c r="O708" s="514"/>
      <c r="P708" s="514"/>
      <c r="Q708" s="514"/>
      <c r="R708" s="515"/>
      <c r="S708" s="515"/>
      <c r="T708" s="515"/>
      <c r="U708" s="515"/>
      <c r="V708" s="515"/>
      <c r="W708" s="515"/>
      <c r="X708" s="515"/>
      <c r="Y708" s="515"/>
    </row>
    <row r="709" spans="1:25" ht="15.75" customHeight="1">
      <c r="A709" s="697"/>
      <c r="B709" s="698"/>
      <c r="C709" s="537" t="s">
        <v>38</v>
      </c>
      <c r="D709" s="564"/>
      <c r="E709" s="530"/>
      <c r="F709" s="530"/>
      <c r="G709" s="530"/>
      <c r="H709" s="530"/>
      <c r="I709" s="513"/>
      <c r="J709" s="514"/>
      <c r="K709" s="514"/>
      <c r="L709" s="514"/>
      <c r="M709" s="514"/>
      <c r="N709" s="514"/>
      <c r="O709" s="514"/>
      <c r="P709" s="514"/>
      <c r="Q709" s="514"/>
      <c r="R709" s="515"/>
      <c r="S709" s="515"/>
      <c r="T709" s="515"/>
      <c r="U709" s="515"/>
      <c r="V709" s="515"/>
      <c r="W709" s="515"/>
      <c r="X709" s="515"/>
      <c r="Y709" s="515"/>
    </row>
    <row r="710" spans="1:25" ht="15.75" customHeight="1">
      <c r="A710" s="697"/>
      <c r="B710" s="698"/>
      <c r="C710" s="527" t="s">
        <v>454</v>
      </c>
      <c r="D710" s="564"/>
      <c r="E710" s="530"/>
      <c r="F710" s="530"/>
      <c r="G710" s="530"/>
      <c r="H710" s="530"/>
      <c r="I710" s="513"/>
      <c r="J710" s="514"/>
      <c r="K710" s="514"/>
      <c r="L710" s="514"/>
      <c r="M710" s="514"/>
      <c r="N710" s="514"/>
      <c r="O710" s="514"/>
      <c r="P710" s="514"/>
      <c r="Q710" s="514"/>
      <c r="R710" s="515"/>
      <c r="S710" s="515"/>
      <c r="T710" s="515"/>
      <c r="U710" s="515"/>
      <c r="V710" s="515"/>
      <c r="W710" s="515"/>
      <c r="X710" s="515"/>
      <c r="Y710" s="515"/>
    </row>
    <row r="711" spans="1:25" ht="15.75" customHeight="1">
      <c r="A711" s="697"/>
      <c r="B711" s="698"/>
      <c r="C711" s="553" t="s">
        <v>47</v>
      </c>
      <c r="D711" s="564"/>
      <c r="E711" s="530"/>
      <c r="F711" s="530"/>
      <c r="G711" s="530"/>
      <c r="H711" s="530"/>
      <c r="I711" s="513"/>
      <c r="J711" s="514"/>
      <c r="K711" s="514"/>
      <c r="L711" s="514"/>
      <c r="M711" s="514"/>
      <c r="N711" s="514"/>
      <c r="O711" s="514"/>
      <c r="P711" s="514"/>
      <c r="Q711" s="514"/>
      <c r="R711" s="515"/>
      <c r="S711" s="515"/>
      <c r="T711" s="515"/>
      <c r="U711" s="515"/>
      <c r="V711" s="515"/>
      <c r="W711" s="515"/>
      <c r="X711" s="515"/>
      <c r="Y711" s="515"/>
    </row>
    <row r="712" spans="1:25" ht="15.75" customHeight="1">
      <c r="A712" s="697"/>
      <c r="B712" s="698"/>
      <c r="C712" s="492" t="s">
        <v>73</v>
      </c>
      <c r="D712" s="564"/>
      <c r="E712" s="530"/>
      <c r="F712" s="530"/>
      <c r="G712" s="530"/>
      <c r="H712" s="530"/>
      <c r="I712" s="513"/>
      <c r="J712" s="514"/>
      <c r="K712" s="514"/>
      <c r="L712" s="514"/>
      <c r="M712" s="514"/>
      <c r="N712" s="514"/>
      <c r="O712" s="514"/>
      <c r="P712" s="514"/>
      <c r="Q712" s="514"/>
      <c r="R712" s="515"/>
      <c r="S712" s="515"/>
      <c r="T712" s="515"/>
      <c r="U712" s="515"/>
      <c r="V712" s="515"/>
      <c r="W712" s="515"/>
      <c r="X712" s="515"/>
      <c r="Y712" s="515"/>
    </row>
    <row r="713" spans="1:25" ht="15.75" customHeight="1">
      <c r="A713" s="697"/>
      <c r="B713" s="698"/>
      <c r="C713" s="527" t="s">
        <v>451</v>
      </c>
      <c r="D713" s="564"/>
      <c r="E713" s="530"/>
      <c r="F713" s="530"/>
      <c r="G713" s="530"/>
      <c r="H713" s="530"/>
      <c r="I713" s="513"/>
      <c r="J713" s="514"/>
      <c r="K713" s="514"/>
      <c r="L713" s="514"/>
      <c r="M713" s="514"/>
      <c r="N713" s="514"/>
      <c r="O713" s="514"/>
      <c r="P713" s="514"/>
      <c r="Q713" s="514"/>
      <c r="R713" s="515"/>
      <c r="S713" s="515"/>
      <c r="T713" s="515"/>
      <c r="U713" s="515"/>
      <c r="V713" s="515"/>
      <c r="W713" s="515"/>
      <c r="X713" s="515"/>
      <c r="Y713" s="515"/>
    </row>
    <row r="714" spans="1:25" ht="15.75" customHeight="1">
      <c r="A714" s="717" t="s">
        <v>455</v>
      </c>
      <c r="B714" s="717"/>
      <c r="C714" s="717"/>
      <c r="D714" s="717"/>
      <c r="E714" s="566"/>
      <c r="F714" s="566"/>
      <c r="G714" s="566"/>
      <c r="H714" s="566"/>
      <c r="I714" s="513"/>
      <c r="J714" s="514"/>
      <c r="K714" s="514"/>
      <c r="L714" s="514"/>
      <c r="M714" s="514"/>
      <c r="N714" s="514"/>
      <c r="O714" s="514"/>
      <c r="P714" s="514"/>
      <c r="Q714" s="514"/>
      <c r="R714" s="515"/>
      <c r="S714" s="515"/>
      <c r="T714" s="515"/>
      <c r="U714" s="515"/>
      <c r="V714" s="515"/>
      <c r="W714" s="515"/>
      <c r="X714" s="515"/>
      <c r="Y714" s="515"/>
    </row>
    <row r="715" spans="1:25" ht="26.75" customHeight="1">
      <c r="A715" s="697" t="s">
        <v>155</v>
      </c>
      <c r="B715" s="698" t="s">
        <v>161</v>
      </c>
      <c r="C715" s="537" t="s">
        <v>1570</v>
      </c>
      <c r="D715" s="564"/>
      <c r="E715" s="530" t="s">
        <v>99</v>
      </c>
      <c r="F715" s="530" t="s">
        <v>196</v>
      </c>
      <c r="G715" s="530" t="s">
        <v>456</v>
      </c>
      <c r="H715" s="530"/>
      <c r="I715" s="513"/>
      <c r="J715" s="514"/>
      <c r="K715" s="514"/>
      <c r="L715" s="514"/>
      <c r="M715" s="514"/>
      <c r="N715" s="514"/>
      <c r="O715" s="514"/>
      <c r="P715" s="514"/>
      <c r="Q715" s="514"/>
      <c r="R715" s="515"/>
      <c r="S715" s="515"/>
      <c r="T715" s="515"/>
      <c r="U715" s="515"/>
      <c r="V715" s="515"/>
      <c r="W715" s="515"/>
      <c r="X715" s="515"/>
      <c r="Y715" s="515"/>
    </row>
    <row r="716" spans="1:25" ht="113" customHeight="1">
      <c r="A716" s="697"/>
      <c r="B716" s="698"/>
      <c r="C716" s="527" t="s">
        <v>457</v>
      </c>
      <c r="D716" s="564"/>
      <c r="E716" s="530"/>
      <c r="F716" s="530"/>
      <c r="G716" s="530"/>
      <c r="H716" s="530"/>
      <c r="I716" s="513"/>
      <c r="J716" s="514"/>
      <c r="K716" s="514"/>
      <c r="L716" s="514"/>
      <c r="M716" s="514"/>
      <c r="N716" s="514"/>
      <c r="O716" s="514"/>
      <c r="P716" s="514"/>
      <c r="Q716" s="514"/>
      <c r="R716" s="515"/>
      <c r="S716" s="515"/>
      <c r="T716" s="515"/>
      <c r="U716" s="515"/>
      <c r="V716" s="515"/>
      <c r="W716" s="515"/>
      <c r="X716" s="515"/>
      <c r="Y716" s="515"/>
    </row>
    <row r="717" spans="1:25" ht="15.75" customHeight="1">
      <c r="A717" s="697"/>
      <c r="B717" s="698"/>
      <c r="C717" s="537" t="s">
        <v>38</v>
      </c>
      <c r="D717" s="564"/>
      <c r="E717" s="530"/>
      <c r="F717" s="530"/>
      <c r="G717" s="530"/>
      <c r="H717" s="530"/>
      <c r="I717" s="513"/>
      <c r="J717" s="514"/>
      <c r="K717" s="514"/>
      <c r="L717" s="514"/>
      <c r="M717" s="514"/>
      <c r="N717" s="514"/>
      <c r="O717" s="514"/>
      <c r="P717" s="514"/>
      <c r="Q717" s="514"/>
      <c r="R717" s="515"/>
      <c r="S717" s="515"/>
      <c r="T717" s="515"/>
      <c r="U717" s="515"/>
      <c r="V717" s="515"/>
      <c r="W717" s="515"/>
      <c r="X717" s="515"/>
      <c r="Y717" s="515"/>
    </row>
    <row r="718" spans="1:25" ht="85.75" customHeight="1">
      <c r="A718" s="697"/>
      <c r="B718" s="698"/>
      <c r="C718" s="527" t="s">
        <v>458</v>
      </c>
      <c r="D718" s="564"/>
      <c r="E718" s="530"/>
      <c r="F718" s="530"/>
      <c r="G718" s="530"/>
      <c r="H718" s="530"/>
      <c r="I718" s="513"/>
      <c r="J718" s="514"/>
      <c r="K718" s="514"/>
      <c r="L718" s="514"/>
      <c r="M718" s="514"/>
      <c r="N718" s="514"/>
      <c r="O718" s="514"/>
      <c r="P718" s="514"/>
      <c r="Q718" s="514"/>
      <c r="R718" s="515"/>
      <c r="S718" s="515"/>
      <c r="T718" s="515"/>
      <c r="U718" s="515"/>
      <c r="V718" s="515"/>
      <c r="W718" s="515"/>
      <c r="X718" s="515"/>
      <c r="Y718" s="515"/>
    </row>
    <row r="719" spans="1:25" ht="15.75" customHeight="1">
      <c r="A719" s="697"/>
      <c r="B719" s="698"/>
      <c r="C719" s="553" t="s">
        <v>47</v>
      </c>
      <c r="D719" s="564"/>
      <c r="E719" s="530"/>
      <c r="F719" s="530"/>
      <c r="G719" s="530"/>
      <c r="H719" s="530"/>
      <c r="I719" s="513"/>
      <c r="J719" s="514"/>
      <c r="K719" s="514"/>
      <c r="L719" s="514"/>
      <c r="M719" s="514"/>
      <c r="N719" s="514"/>
      <c r="O719" s="514"/>
      <c r="P719" s="514"/>
      <c r="Q719" s="514"/>
      <c r="R719" s="515"/>
      <c r="S719" s="515"/>
      <c r="T719" s="515"/>
      <c r="U719" s="515"/>
      <c r="V719" s="515"/>
      <c r="W719" s="515"/>
      <c r="X719" s="515"/>
      <c r="Y719" s="515"/>
    </row>
    <row r="720" spans="1:25" ht="15.75" customHeight="1">
      <c r="A720" s="697"/>
      <c r="B720" s="698"/>
      <c r="C720" s="495" t="s">
        <v>73</v>
      </c>
      <c r="D720" s="564"/>
      <c r="E720" s="530"/>
      <c r="F720" s="530"/>
      <c r="G720" s="530"/>
      <c r="H720" s="530"/>
      <c r="I720" s="513"/>
      <c r="J720" s="514"/>
      <c r="K720" s="514"/>
      <c r="L720" s="514"/>
      <c r="M720" s="514"/>
      <c r="N720" s="514"/>
      <c r="O720" s="514"/>
      <c r="P720" s="514"/>
      <c r="Q720" s="514"/>
      <c r="R720" s="515"/>
      <c r="S720" s="515"/>
      <c r="T720" s="515"/>
      <c r="U720" s="515"/>
      <c r="V720" s="515"/>
      <c r="W720" s="515"/>
      <c r="X720" s="515"/>
      <c r="Y720" s="515"/>
    </row>
    <row r="721" spans="1:25" ht="15.75" customHeight="1">
      <c r="A721" s="697"/>
      <c r="B721" s="698"/>
      <c r="C721" s="527" t="s">
        <v>459</v>
      </c>
      <c r="D721" s="564"/>
      <c r="E721" s="530"/>
      <c r="F721" s="530"/>
      <c r="G721" s="530"/>
      <c r="H721" s="530"/>
      <c r="I721" s="513"/>
      <c r="J721" s="514"/>
      <c r="K721" s="514"/>
      <c r="L721" s="514"/>
      <c r="M721" s="514"/>
      <c r="N721" s="514"/>
      <c r="O721" s="514"/>
      <c r="P721" s="514"/>
      <c r="Q721" s="514"/>
      <c r="R721" s="515"/>
      <c r="S721" s="515"/>
      <c r="T721" s="515"/>
      <c r="U721" s="515"/>
      <c r="V721" s="515"/>
      <c r="W721" s="515"/>
      <c r="X721" s="515"/>
      <c r="Y721" s="515"/>
    </row>
    <row r="722" spans="1:25" ht="15.75" customHeight="1">
      <c r="A722" s="697"/>
      <c r="B722" s="698"/>
      <c r="C722" s="495" t="s">
        <v>1597</v>
      </c>
      <c r="D722" s="564"/>
      <c r="E722" s="530"/>
      <c r="F722" s="530"/>
      <c r="G722" s="530"/>
      <c r="H722" s="530"/>
      <c r="I722" s="513"/>
      <c r="J722" s="514"/>
      <c r="K722" s="514"/>
      <c r="L722" s="514"/>
      <c r="M722" s="514"/>
      <c r="N722" s="514"/>
      <c r="O722" s="514"/>
      <c r="P722" s="514"/>
      <c r="Q722" s="514"/>
      <c r="R722" s="515"/>
      <c r="S722" s="515"/>
      <c r="T722" s="515"/>
      <c r="U722" s="515"/>
      <c r="V722" s="515"/>
      <c r="W722" s="515"/>
      <c r="X722" s="515"/>
      <c r="Y722" s="515"/>
    </row>
    <row r="723" spans="1:25" ht="15.75" customHeight="1">
      <c r="A723" s="697"/>
      <c r="B723" s="698"/>
      <c r="C723" s="495" t="s">
        <v>96</v>
      </c>
      <c r="D723" s="564"/>
      <c r="E723" s="530"/>
      <c r="F723" s="530"/>
      <c r="G723" s="530"/>
      <c r="H723" s="530"/>
      <c r="I723" s="513"/>
      <c r="J723" s="514"/>
      <c r="K723" s="514"/>
      <c r="L723" s="514"/>
      <c r="M723" s="514"/>
      <c r="N723" s="514"/>
      <c r="O723" s="514"/>
      <c r="P723" s="514"/>
      <c r="Q723" s="514"/>
      <c r="R723" s="515"/>
      <c r="S723" s="515"/>
      <c r="T723" s="515"/>
      <c r="U723" s="515"/>
      <c r="V723" s="515"/>
      <c r="W723" s="515"/>
      <c r="X723" s="515"/>
      <c r="Y723" s="515"/>
    </row>
    <row r="724" spans="1:25" ht="15.75" customHeight="1">
      <c r="A724" s="697"/>
      <c r="B724" s="698"/>
      <c r="C724" s="495" t="s">
        <v>128</v>
      </c>
      <c r="D724" s="564"/>
      <c r="E724" s="530"/>
      <c r="F724" s="530"/>
      <c r="G724" s="530"/>
      <c r="H724" s="530"/>
      <c r="I724" s="513"/>
      <c r="J724" s="514"/>
      <c r="K724" s="514"/>
      <c r="L724" s="514"/>
      <c r="M724" s="514"/>
      <c r="N724" s="514"/>
      <c r="O724" s="514"/>
      <c r="P724" s="514"/>
      <c r="Q724" s="514"/>
      <c r="R724" s="515"/>
      <c r="S724" s="515"/>
      <c r="T724" s="515"/>
      <c r="U724" s="515"/>
      <c r="V724" s="515"/>
      <c r="W724" s="515"/>
      <c r="X724" s="515"/>
      <c r="Y724" s="515"/>
    </row>
    <row r="725" spans="1:25">
      <c r="A725" s="697"/>
      <c r="B725" s="698"/>
      <c r="C725" s="495" t="s">
        <v>1596</v>
      </c>
      <c r="D725" s="564"/>
      <c r="E725" s="530"/>
      <c r="F725" s="530"/>
      <c r="G725" s="530"/>
      <c r="H725" s="530"/>
      <c r="I725" s="513"/>
      <c r="J725" s="514"/>
      <c r="K725" s="514"/>
      <c r="L725" s="514"/>
      <c r="M725" s="514"/>
      <c r="N725" s="514"/>
      <c r="O725" s="514"/>
      <c r="P725" s="514"/>
      <c r="Q725" s="514"/>
      <c r="R725" s="515"/>
      <c r="S725" s="515"/>
      <c r="T725" s="515"/>
      <c r="U725" s="515"/>
      <c r="V725" s="515"/>
      <c r="W725" s="515"/>
      <c r="X725" s="515"/>
      <c r="Y725" s="515"/>
    </row>
    <row r="726" spans="1:25">
      <c r="A726" s="697"/>
      <c r="B726" s="698"/>
      <c r="C726" s="495" t="s">
        <v>128</v>
      </c>
      <c r="D726" s="564"/>
      <c r="E726" s="530"/>
      <c r="F726" s="530"/>
      <c r="G726" s="530"/>
      <c r="H726" s="530"/>
      <c r="I726" s="513"/>
      <c r="J726" s="514"/>
      <c r="K726" s="514"/>
      <c r="L726" s="514"/>
      <c r="M726" s="514"/>
      <c r="N726" s="514"/>
      <c r="O726" s="514"/>
      <c r="P726" s="514"/>
      <c r="Q726" s="514"/>
      <c r="R726" s="515"/>
      <c r="S726" s="515"/>
      <c r="T726" s="515"/>
      <c r="U726" s="515"/>
      <c r="V726" s="515"/>
      <c r="W726" s="515"/>
      <c r="X726" s="515"/>
      <c r="Y726" s="515"/>
    </row>
    <row r="727" spans="1:25" ht="15.75" customHeight="1">
      <c r="A727" s="718"/>
      <c r="B727" s="699"/>
      <c r="C727" s="494" t="s">
        <v>138</v>
      </c>
      <c r="D727" s="568"/>
      <c r="E727" s="535"/>
      <c r="F727" s="535"/>
      <c r="G727" s="535"/>
      <c r="H727" s="535"/>
      <c r="I727" s="513"/>
      <c r="J727" s="514"/>
      <c r="K727" s="514"/>
      <c r="L727" s="514"/>
      <c r="M727" s="514"/>
      <c r="N727" s="514"/>
      <c r="O727" s="514"/>
      <c r="P727" s="514"/>
      <c r="Q727" s="514"/>
      <c r="R727" s="515"/>
      <c r="S727" s="515"/>
      <c r="T727" s="515"/>
      <c r="U727" s="515"/>
      <c r="V727" s="515"/>
      <c r="W727" s="515"/>
      <c r="X727" s="515"/>
      <c r="Y727" s="515"/>
    </row>
    <row r="728" spans="1:25" ht="26.75" customHeight="1">
      <c r="A728" s="526" t="s">
        <v>460</v>
      </c>
      <c r="B728" s="527" t="s">
        <v>461</v>
      </c>
      <c r="C728" s="528" t="s">
        <v>462</v>
      </c>
      <c r="D728" s="564"/>
      <c r="E728" s="530" t="s">
        <v>99</v>
      </c>
      <c r="F728" s="541">
        <v>3</v>
      </c>
      <c r="G728" s="530"/>
      <c r="H728" s="530"/>
      <c r="I728" s="513"/>
      <c r="J728" s="514"/>
      <c r="K728" s="514"/>
      <c r="L728" s="514"/>
      <c r="M728" s="514"/>
      <c r="N728" s="514"/>
      <c r="O728" s="514"/>
      <c r="P728" s="514"/>
      <c r="Q728" s="514"/>
      <c r="R728" s="515"/>
      <c r="S728" s="515"/>
      <c r="T728" s="515"/>
      <c r="U728" s="515"/>
      <c r="V728" s="515"/>
      <c r="W728" s="515"/>
      <c r="X728" s="515"/>
      <c r="Y728" s="515"/>
    </row>
    <row r="729" spans="1:25" ht="15.75" customHeight="1">
      <c r="A729" s="717" t="s">
        <v>463</v>
      </c>
      <c r="B729" s="717"/>
      <c r="C729" s="717"/>
      <c r="D729" s="717"/>
      <c r="E729" s="719"/>
      <c r="F729" s="719"/>
      <c r="G729" s="719"/>
      <c r="H729" s="719"/>
      <c r="I729" s="513"/>
      <c r="J729" s="514"/>
      <c r="K729" s="514"/>
      <c r="L729" s="514"/>
      <c r="M729" s="514"/>
      <c r="N729" s="514"/>
      <c r="O729" s="514"/>
      <c r="P729" s="514"/>
      <c r="Q729" s="514"/>
      <c r="R729" s="515"/>
      <c r="S729" s="515"/>
      <c r="T729" s="515"/>
      <c r="U729" s="515"/>
      <c r="V729" s="515"/>
      <c r="W729" s="515"/>
      <c r="X729" s="515"/>
      <c r="Y729" s="515"/>
    </row>
    <row r="730" spans="1:25" ht="15.75" customHeight="1">
      <c r="A730" s="697" t="s">
        <v>155</v>
      </c>
      <c r="B730" s="527" t="s">
        <v>161</v>
      </c>
      <c r="C730" s="537" t="s">
        <v>1570</v>
      </c>
      <c r="D730" s="564"/>
      <c r="E730" s="530"/>
      <c r="F730" s="530"/>
      <c r="G730" s="530"/>
      <c r="H730" s="530"/>
      <c r="I730" s="513"/>
      <c r="J730" s="514"/>
      <c r="K730" s="514"/>
      <c r="L730" s="514"/>
      <c r="M730" s="514"/>
      <c r="N730" s="514"/>
      <c r="O730" s="514"/>
      <c r="P730" s="514"/>
      <c r="Q730" s="514"/>
      <c r="R730" s="515"/>
      <c r="S730" s="515"/>
      <c r="T730" s="515"/>
      <c r="U730" s="515"/>
      <c r="V730" s="515"/>
      <c r="W730" s="515"/>
      <c r="X730" s="515"/>
      <c r="Y730" s="515"/>
    </row>
    <row r="731" spans="1:25" ht="96.75" customHeight="1">
      <c r="A731" s="697"/>
      <c r="B731" s="527"/>
      <c r="C731" s="519" t="s">
        <v>464</v>
      </c>
      <c r="D731" s="564"/>
      <c r="E731" s="530"/>
      <c r="F731" s="530"/>
      <c r="G731" s="530"/>
      <c r="H731" s="530"/>
      <c r="I731" s="513"/>
      <c r="J731" s="514"/>
      <c r="K731" s="514"/>
      <c r="L731" s="514"/>
      <c r="M731" s="514"/>
      <c r="N731" s="514"/>
      <c r="O731" s="514"/>
      <c r="P731" s="514"/>
      <c r="Q731" s="514"/>
      <c r="R731" s="515"/>
      <c r="S731" s="515"/>
      <c r="T731" s="515"/>
      <c r="U731" s="515"/>
      <c r="V731" s="515"/>
      <c r="W731" s="515"/>
      <c r="X731" s="515"/>
      <c r="Y731" s="515"/>
    </row>
    <row r="732" spans="1:25" ht="15.75" customHeight="1">
      <c r="A732" s="697"/>
      <c r="B732" s="527"/>
      <c r="C732" s="537" t="s">
        <v>38</v>
      </c>
      <c r="D732" s="564"/>
      <c r="E732" s="530"/>
      <c r="F732" s="530"/>
      <c r="G732" s="530"/>
      <c r="H732" s="530"/>
      <c r="I732" s="513"/>
      <c r="J732" s="514"/>
      <c r="K732" s="514"/>
      <c r="L732" s="514"/>
      <c r="M732" s="514"/>
      <c r="N732" s="514"/>
      <c r="O732" s="514"/>
      <c r="P732" s="514"/>
      <c r="Q732" s="514"/>
      <c r="R732" s="515"/>
      <c r="S732" s="515"/>
      <c r="T732" s="515"/>
      <c r="U732" s="515"/>
      <c r="V732" s="515"/>
      <c r="W732" s="515"/>
      <c r="X732" s="515"/>
      <c r="Y732" s="515"/>
    </row>
    <row r="733" spans="1:25" ht="39.25" customHeight="1">
      <c r="A733" s="697"/>
      <c r="B733" s="527"/>
      <c r="C733" s="519" t="s">
        <v>465</v>
      </c>
      <c r="D733" s="564"/>
      <c r="E733" s="530"/>
      <c r="F733" s="530"/>
      <c r="G733" s="530"/>
      <c r="H733" s="530"/>
      <c r="I733" s="513"/>
      <c r="J733" s="514"/>
      <c r="K733" s="514"/>
      <c r="L733" s="514"/>
      <c r="M733" s="514"/>
      <c r="N733" s="514"/>
      <c r="O733" s="514"/>
      <c r="P733" s="514"/>
      <c r="Q733" s="514"/>
      <c r="R733" s="515"/>
      <c r="S733" s="515"/>
      <c r="T733" s="515"/>
      <c r="U733" s="515"/>
      <c r="V733" s="515"/>
      <c r="W733" s="515"/>
      <c r="X733" s="515"/>
      <c r="Y733" s="515"/>
    </row>
    <row r="734" spans="1:25" ht="15.75" customHeight="1">
      <c r="A734" s="697"/>
      <c r="B734" s="527"/>
      <c r="C734" s="520" t="s">
        <v>47</v>
      </c>
      <c r="D734" s="564"/>
      <c r="E734" s="530"/>
      <c r="F734" s="530"/>
      <c r="G734" s="530"/>
      <c r="H734" s="530"/>
      <c r="I734" s="513"/>
      <c r="J734" s="514"/>
      <c r="K734" s="514"/>
      <c r="L734" s="514"/>
      <c r="M734" s="514"/>
      <c r="N734" s="514"/>
      <c r="O734" s="514"/>
      <c r="P734" s="514"/>
      <c r="Q734" s="514"/>
      <c r="R734" s="515"/>
      <c r="S734" s="515"/>
      <c r="T734" s="515"/>
      <c r="U734" s="515"/>
      <c r="V734" s="515"/>
      <c r="W734" s="515"/>
      <c r="X734" s="515"/>
      <c r="Y734" s="515"/>
    </row>
    <row r="735" spans="1:25" ht="15.75" customHeight="1">
      <c r="A735" s="697"/>
      <c r="B735" s="527"/>
      <c r="C735" s="496" t="s">
        <v>73</v>
      </c>
      <c r="D735" s="564"/>
      <c r="E735" s="530"/>
      <c r="F735" s="530"/>
      <c r="G735" s="530"/>
      <c r="H735" s="530"/>
      <c r="I735" s="513"/>
      <c r="J735" s="514"/>
      <c r="K735" s="514"/>
      <c r="L735" s="514"/>
      <c r="M735" s="514"/>
      <c r="N735" s="514"/>
      <c r="O735" s="514"/>
      <c r="P735" s="514"/>
      <c r="Q735" s="514"/>
      <c r="R735" s="515"/>
      <c r="S735" s="515"/>
      <c r="T735" s="515"/>
      <c r="U735" s="515"/>
      <c r="V735" s="515"/>
      <c r="W735" s="515"/>
      <c r="X735" s="515"/>
      <c r="Y735" s="515"/>
    </row>
    <row r="736" spans="1:25" ht="15.75" customHeight="1">
      <c r="A736" s="697"/>
      <c r="B736" s="527"/>
      <c r="C736" s="519" t="s">
        <v>466</v>
      </c>
      <c r="D736" s="564"/>
      <c r="E736" s="530"/>
      <c r="F736" s="530"/>
      <c r="G736" s="530"/>
      <c r="H736" s="530"/>
      <c r="I736" s="513"/>
      <c r="J736" s="514"/>
      <c r="K736" s="514"/>
      <c r="L736" s="514"/>
      <c r="M736" s="514"/>
      <c r="N736" s="514"/>
      <c r="O736" s="514"/>
      <c r="P736" s="514"/>
      <c r="Q736" s="514"/>
      <c r="R736" s="515"/>
      <c r="S736" s="515"/>
      <c r="T736" s="515"/>
      <c r="U736" s="515"/>
      <c r="V736" s="515"/>
      <c r="W736" s="515"/>
      <c r="X736" s="515"/>
      <c r="Y736" s="515"/>
    </row>
    <row r="737" spans="1:25" ht="15.75" customHeight="1">
      <c r="A737" s="697"/>
      <c r="B737" s="527"/>
      <c r="C737" s="519" t="s">
        <v>467</v>
      </c>
      <c r="D737" s="564"/>
      <c r="E737" s="530"/>
      <c r="F737" s="530"/>
      <c r="G737" s="530"/>
      <c r="H737" s="530"/>
      <c r="I737" s="513"/>
      <c r="J737" s="514"/>
      <c r="K737" s="514"/>
      <c r="L737" s="514"/>
      <c r="M737" s="514"/>
      <c r="N737" s="514"/>
      <c r="O737" s="514"/>
      <c r="P737" s="514"/>
      <c r="Q737" s="514"/>
      <c r="R737" s="515"/>
      <c r="S737" s="515"/>
      <c r="T737" s="515"/>
      <c r="U737" s="515"/>
      <c r="V737" s="515"/>
      <c r="W737" s="515"/>
      <c r="X737" s="515"/>
      <c r="Y737" s="515"/>
    </row>
    <row r="738" spans="1:25" ht="15.75" customHeight="1">
      <c r="A738" s="697"/>
      <c r="B738" s="527"/>
      <c r="C738" s="519" t="s">
        <v>468</v>
      </c>
      <c r="D738" s="564"/>
      <c r="E738" s="530"/>
      <c r="F738" s="530"/>
      <c r="G738" s="530"/>
      <c r="H738" s="530"/>
      <c r="I738" s="513"/>
      <c r="J738" s="514"/>
      <c r="K738" s="514"/>
      <c r="L738" s="514"/>
      <c r="M738" s="514"/>
      <c r="N738" s="514"/>
      <c r="O738" s="514"/>
      <c r="P738" s="514"/>
      <c r="Q738" s="514"/>
      <c r="R738" s="515"/>
      <c r="S738" s="515"/>
      <c r="T738" s="515"/>
      <c r="U738" s="515"/>
      <c r="V738" s="515"/>
      <c r="W738" s="515"/>
      <c r="X738" s="515"/>
      <c r="Y738" s="515"/>
    </row>
    <row r="739" spans="1:25" ht="15.75" customHeight="1">
      <c r="A739" s="697"/>
      <c r="B739" s="527"/>
      <c r="C739" s="496" t="s">
        <v>73</v>
      </c>
      <c r="D739" s="564"/>
      <c r="E739" s="530"/>
      <c r="F739" s="530"/>
      <c r="G739" s="530"/>
      <c r="H739" s="530"/>
      <c r="I739" s="513"/>
      <c r="J739" s="514"/>
      <c r="K739" s="514"/>
      <c r="L739" s="514"/>
      <c r="M739" s="514"/>
      <c r="N739" s="514"/>
      <c r="O739" s="514"/>
      <c r="P739" s="514"/>
      <c r="Q739" s="514"/>
      <c r="R739" s="515"/>
      <c r="S739" s="515"/>
      <c r="T739" s="515"/>
      <c r="U739" s="515"/>
      <c r="V739" s="515"/>
      <c r="W739" s="515"/>
      <c r="X739" s="515"/>
      <c r="Y739" s="515"/>
    </row>
    <row r="740" spans="1:25" ht="15.75" customHeight="1">
      <c r="A740" s="697"/>
      <c r="B740" s="527"/>
      <c r="C740" s="519" t="s">
        <v>1567</v>
      </c>
      <c r="D740" s="564"/>
      <c r="E740" s="530"/>
      <c r="F740" s="530"/>
      <c r="G740" s="530"/>
      <c r="H740" s="530"/>
      <c r="I740" s="513"/>
      <c r="J740" s="514"/>
      <c r="K740" s="514"/>
      <c r="L740" s="514"/>
      <c r="M740" s="514"/>
      <c r="N740" s="514"/>
      <c r="O740" s="514"/>
      <c r="P740" s="514"/>
      <c r="Q740" s="514"/>
      <c r="R740" s="515"/>
      <c r="S740" s="515"/>
      <c r="T740" s="515"/>
      <c r="U740" s="515"/>
      <c r="V740" s="515"/>
      <c r="W740" s="515"/>
      <c r="X740" s="515"/>
      <c r="Y740" s="515"/>
    </row>
    <row r="741" spans="1:25">
      <c r="A741" s="697"/>
      <c r="B741" s="527"/>
      <c r="C741" s="496" t="s">
        <v>1597</v>
      </c>
      <c r="D741" s="564"/>
      <c r="E741" s="530"/>
      <c r="F741" s="530"/>
      <c r="G741" s="530"/>
      <c r="H741" s="530"/>
      <c r="I741" s="513"/>
      <c r="J741" s="514"/>
      <c r="K741" s="514"/>
      <c r="L741" s="514"/>
      <c r="M741" s="514"/>
      <c r="N741" s="514"/>
      <c r="O741" s="514"/>
      <c r="P741" s="514"/>
      <c r="Q741" s="514"/>
      <c r="R741" s="515"/>
      <c r="S741" s="515"/>
      <c r="T741" s="515"/>
      <c r="U741" s="515"/>
      <c r="V741" s="515"/>
      <c r="W741" s="515"/>
      <c r="X741" s="515"/>
      <c r="Y741" s="515"/>
    </row>
    <row r="742" spans="1:25" ht="15.75" customHeight="1">
      <c r="A742" s="697"/>
      <c r="B742" s="527"/>
      <c r="C742" s="496" t="s">
        <v>96</v>
      </c>
      <c r="D742" s="564"/>
      <c r="E742" s="530"/>
      <c r="F742" s="530"/>
      <c r="G742" s="530"/>
      <c r="H742" s="530"/>
      <c r="I742" s="513"/>
      <c r="J742" s="514"/>
      <c r="K742" s="514"/>
      <c r="L742" s="514"/>
      <c r="M742" s="514"/>
      <c r="N742" s="514"/>
      <c r="O742" s="514"/>
      <c r="P742" s="514"/>
      <c r="Q742" s="514"/>
      <c r="R742" s="515"/>
      <c r="S742" s="515"/>
      <c r="T742" s="515"/>
      <c r="U742" s="515"/>
      <c r="V742" s="515"/>
      <c r="W742" s="515"/>
      <c r="X742" s="515"/>
      <c r="Y742" s="515"/>
    </row>
    <row r="743" spans="1:25" ht="15.75" customHeight="1">
      <c r="A743" s="697"/>
      <c r="B743" s="527"/>
      <c r="C743" s="496" t="s">
        <v>128</v>
      </c>
      <c r="D743" s="564"/>
      <c r="E743" s="530"/>
      <c r="F743" s="530"/>
      <c r="G743" s="530"/>
      <c r="H743" s="530"/>
      <c r="I743" s="513"/>
      <c r="J743" s="514"/>
      <c r="K743" s="514"/>
      <c r="L743" s="514"/>
      <c r="M743" s="514"/>
      <c r="N743" s="514"/>
      <c r="O743" s="514"/>
      <c r="P743" s="514"/>
      <c r="Q743" s="514"/>
      <c r="R743" s="515"/>
      <c r="S743" s="515"/>
      <c r="T743" s="515"/>
      <c r="U743" s="515"/>
      <c r="V743" s="515"/>
      <c r="W743" s="515"/>
      <c r="X743" s="515"/>
      <c r="Y743" s="515"/>
    </row>
    <row r="744" spans="1:25">
      <c r="A744" s="697"/>
      <c r="B744" s="527"/>
      <c r="C744" s="496" t="s">
        <v>1596</v>
      </c>
      <c r="D744" s="564"/>
      <c r="E744" s="530"/>
      <c r="F744" s="530"/>
      <c r="G744" s="530"/>
      <c r="H744" s="530"/>
      <c r="I744" s="513"/>
      <c r="J744" s="514"/>
      <c r="K744" s="514"/>
      <c r="L744" s="514"/>
      <c r="M744" s="514"/>
      <c r="N744" s="514"/>
      <c r="O744" s="514"/>
      <c r="P744" s="514"/>
      <c r="Q744" s="514"/>
      <c r="R744" s="515"/>
      <c r="S744" s="515"/>
      <c r="T744" s="515"/>
      <c r="U744" s="515"/>
      <c r="V744" s="515"/>
      <c r="W744" s="515"/>
      <c r="X744" s="515"/>
      <c r="Y744" s="515"/>
    </row>
    <row r="745" spans="1:25">
      <c r="A745" s="697"/>
      <c r="B745" s="527"/>
      <c r="C745" s="496" t="s">
        <v>128</v>
      </c>
      <c r="D745" s="564"/>
      <c r="E745" s="530"/>
      <c r="F745" s="530"/>
      <c r="G745" s="530"/>
      <c r="H745" s="530"/>
      <c r="I745" s="513"/>
      <c r="J745" s="514"/>
      <c r="K745" s="514"/>
      <c r="L745" s="514"/>
      <c r="M745" s="514"/>
      <c r="N745" s="514"/>
      <c r="O745" s="514"/>
      <c r="P745" s="514"/>
      <c r="Q745" s="514"/>
      <c r="R745" s="515"/>
      <c r="S745" s="515"/>
      <c r="T745" s="515"/>
      <c r="U745" s="515"/>
      <c r="V745" s="515"/>
      <c r="W745" s="515"/>
      <c r="X745" s="515"/>
      <c r="Y745" s="515"/>
    </row>
    <row r="746" spans="1:25" ht="15.75" customHeight="1">
      <c r="A746" s="718"/>
      <c r="B746" s="533"/>
      <c r="C746" s="497" t="s">
        <v>138</v>
      </c>
      <c r="D746" s="568"/>
      <c r="E746" s="535"/>
      <c r="F746" s="535"/>
      <c r="G746" s="535"/>
      <c r="H746" s="535"/>
      <c r="I746" s="513"/>
      <c r="J746" s="514"/>
      <c r="K746" s="514"/>
      <c r="L746" s="514"/>
      <c r="M746" s="514"/>
      <c r="N746" s="514"/>
      <c r="O746" s="514"/>
      <c r="P746" s="514"/>
      <c r="Q746" s="514"/>
      <c r="R746" s="515"/>
      <c r="S746" s="515"/>
      <c r="T746" s="515"/>
      <c r="U746" s="515"/>
      <c r="V746" s="515"/>
      <c r="W746" s="515"/>
      <c r="X746" s="515"/>
      <c r="Y746" s="515"/>
    </row>
    <row r="747" spans="1:25" ht="26.75" customHeight="1">
      <c r="A747" s="697" t="s">
        <v>469</v>
      </c>
      <c r="B747" s="700" t="s">
        <v>470</v>
      </c>
      <c r="C747" s="537" t="s">
        <v>26</v>
      </c>
      <c r="D747" s="570"/>
      <c r="E747" s="539" t="s">
        <v>99</v>
      </c>
      <c r="F747" s="539" t="s">
        <v>471</v>
      </c>
      <c r="G747" s="539" t="s">
        <v>472</v>
      </c>
      <c r="H747" s="539"/>
      <c r="I747" s="513"/>
      <c r="J747" s="514"/>
      <c r="K747" s="514"/>
      <c r="L747" s="514"/>
      <c r="M747" s="514"/>
      <c r="N747" s="514"/>
      <c r="O747" s="514"/>
      <c r="P747" s="514"/>
      <c r="Q747" s="514"/>
      <c r="R747" s="515"/>
      <c r="S747" s="515"/>
      <c r="T747" s="515"/>
      <c r="U747" s="515"/>
      <c r="V747" s="515"/>
      <c r="W747" s="515"/>
      <c r="X747" s="515"/>
      <c r="Y747" s="515"/>
    </row>
    <row r="748" spans="1:25" ht="50" customHeight="1">
      <c r="A748" s="697"/>
      <c r="B748" s="698"/>
      <c r="C748" s="527" t="s">
        <v>473</v>
      </c>
      <c r="D748" s="564"/>
      <c r="E748" s="530"/>
      <c r="F748" s="530"/>
      <c r="G748" s="530"/>
      <c r="H748" s="530"/>
      <c r="I748" s="513"/>
      <c r="J748" s="514"/>
      <c r="K748" s="514"/>
      <c r="L748" s="514"/>
      <c r="M748" s="514"/>
      <c r="N748" s="514"/>
      <c r="O748" s="514"/>
      <c r="P748" s="514"/>
      <c r="Q748" s="514"/>
      <c r="R748" s="515"/>
      <c r="S748" s="515"/>
      <c r="T748" s="515"/>
      <c r="U748" s="515"/>
      <c r="V748" s="515"/>
      <c r="W748" s="515"/>
      <c r="X748" s="515"/>
      <c r="Y748" s="515"/>
    </row>
    <row r="749" spans="1:25" ht="15.75" customHeight="1">
      <c r="A749" s="697"/>
      <c r="B749" s="698"/>
      <c r="C749" s="537" t="s">
        <v>38</v>
      </c>
      <c r="D749" s="564"/>
      <c r="E749" s="530"/>
      <c r="F749" s="530"/>
      <c r="G749" s="530"/>
      <c r="H749" s="530"/>
      <c r="I749" s="513"/>
      <c r="J749" s="514"/>
      <c r="K749" s="514"/>
      <c r="L749" s="514"/>
      <c r="M749" s="514"/>
      <c r="N749" s="514"/>
      <c r="O749" s="514"/>
      <c r="P749" s="514"/>
      <c r="Q749" s="514"/>
      <c r="R749" s="515"/>
      <c r="S749" s="515"/>
      <c r="T749" s="515"/>
      <c r="U749" s="515"/>
      <c r="V749" s="515"/>
      <c r="W749" s="515"/>
      <c r="X749" s="515"/>
      <c r="Y749" s="515"/>
    </row>
    <row r="750" spans="1:25" ht="39.25" customHeight="1">
      <c r="A750" s="697"/>
      <c r="B750" s="698"/>
      <c r="C750" s="527" t="s">
        <v>474</v>
      </c>
      <c r="D750" s="564"/>
      <c r="E750" s="530"/>
      <c r="F750" s="530"/>
      <c r="G750" s="530"/>
      <c r="H750" s="530"/>
      <c r="I750" s="513"/>
      <c r="J750" s="514"/>
      <c r="K750" s="514"/>
      <c r="L750" s="514"/>
      <c r="M750" s="514"/>
      <c r="N750" s="514"/>
      <c r="O750" s="514"/>
      <c r="P750" s="514"/>
      <c r="Q750" s="514"/>
      <c r="R750" s="515"/>
      <c r="S750" s="515"/>
      <c r="T750" s="515"/>
      <c r="U750" s="515"/>
      <c r="V750" s="515"/>
      <c r="W750" s="515"/>
      <c r="X750" s="515"/>
      <c r="Y750" s="515"/>
    </row>
    <row r="751" spans="1:25" ht="15.75" customHeight="1">
      <c r="A751" s="697"/>
      <c r="B751" s="698"/>
      <c r="C751" s="553" t="s">
        <v>47</v>
      </c>
      <c r="D751" s="564"/>
      <c r="E751" s="530"/>
      <c r="F751" s="530"/>
      <c r="G751" s="530"/>
      <c r="H751" s="530"/>
      <c r="I751" s="513"/>
      <c r="J751" s="514"/>
      <c r="K751" s="514"/>
      <c r="L751" s="514"/>
      <c r="M751" s="514"/>
      <c r="N751" s="514"/>
      <c r="O751" s="514"/>
      <c r="P751" s="514"/>
      <c r="Q751" s="514"/>
      <c r="R751" s="515"/>
      <c r="S751" s="515"/>
      <c r="T751" s="515"/>
      <c r="U751" s="515"/>
      <c r="V751" s="515"/>
      <c r="W751" s="515"/>
      <c r="X751" s="515"/>
      <c r="Y751" s="515"/>
    </row>
    <row r="752" spans="1:25" ht="15.75" customHeight="1">
      <c r="A752" s="697"/>
      <c r="B752" s="698"/>
      <c r="C752" s="495" t="s">
        <v>135</v>
      </c>
      <c r="D752" s="564"/>
      <c r="E752" s="530"/>
      <c r="F752" s="530"/>
      <c r="G752" s="530"/>
      <c r="H752" s="530"/>
      <c r="I752" s="513"/>
      <c r="J752" s="514"/>
      <c r="K752" s="514"/>
      <c r="L752" s="514"/>
      <c r="M752" s="514"/>
      <c r="N752" s="514"/>
      <c r="O752" s="514"/>
      <c r="P752" s="514"/>
      <c r="Q752" s="514"/>
      <c r="R752" s="515"/>
      <c r="S752" s="515"/>
      <c r="T752" s="515"/>
      <c r="U752" s="515"/>
      <c r="V752" s="515"/>
      <c r="W752" s="515"/>
      <c r="X752" s="515"/>
      <c r="Y752" s="515"/>
    </row>
    <row r="753" spans="1:25" ht="15.75" customHeight="1">
      <c r="A753" s="697"/>
      <c r="B753" s="698"/>
      <c r="C753" s="495" t="s">
        <v>197</v>
      </c>
      <c r="D753" s="564"/>
      <c r="E753" s="530"/>
      <c r="F753" s="530"/>
      <c r="G753" s="530"/>
      <c r="H753" s="530"/>
      <c r="I753" s="513"/>
      <c r="J753" s="514"/>
      <c r="K753" s="514"/>
      <c r="L753" s="514"/>
      <c r="M753" s="514"/>
      <c r="N753" s="514"/>
      <c r="O753" s="514"/>
      <c r="P753" s="514"/>
      <c r="Q753" s="514"/>
      <c r="R753" s="515"/>
      <c r="S753" s="515"/>
      <c r="T753" s="515"/>
      <c r="U753" s="515"/>
      <c r="V753" s="515"/>
      <c r="W753" s="515"/>
      <c r="X753" s="515"/>
      <c r="Y753" s="515"/>
    </row>
    <row r="754" spans="1:25" ht="15.75" customHeight="1">
      <c r="A754" s="697"/>
      <c r="B754" s="698"/>
      <c r="C754" s="495" t="s">
        <v>84</v>
      </c>
      <c r="D754" s="564"/>
      <c r="E754" s="530"/>
      <c r="F754" s="530"/>
      <c r="G754" s="530"/>
      <c r="H754" s="530"/>
      <c r="I754" s="513"/>
      <c r="J754" s="514"/>
      <c r="K754" s="514"/>
      <c r="L754" s="514"/>
      <c r="M754" s="514"/>
      <c r="N754" s="514"/>
      <c r="O754" s="514"/>
      <c r="P754" s="514"/>
      <c r="Q754" s="514"/>
      <c r="R754" s="515"/>
      <c r="S754" s="515"/>
      <c r="T754" s="515"/>
      <c r="U754" s="515"/>
      <c r="V754" s="515"/>
      <c r="W754" s="515"/>
      <c r="X754" s="515"/>
      <c r="Y754" s="515"/>
    </row>
    <row r="755" spans="1:25" ht="15.75" customHeight="1">
      <c r="A755" s="697"/>
      <c r="B755" s="698"/>
      <c r="C755" s="495" t="s">
        <v>73</v>
      </c>
      <c r="D755" s="564"/>
      <c r="E755" s="530"/>
      <c r="F755" s="530"/>
      <c r="G755" s="530"/>
      <c r="H755" s="530"/>
      <c r="I755" s="513"/>
      <c r="J755" s="514"/>
      <c r="K755" s="514"/>
      <c r="L755" s="514"/>
      <c r="M755" s="514"/>
      <c r="N755" s="514"/>
      <c r="O755" s="514"/>
      <c r="P755" s="514"/>
      <c r="Q755" s="514"/>
      <c r="R755" s="515"/>
      <c r="S755" s="515"/>
      <c r="T755" s="515"/>
      <c r="U755" s="515"/>
      <c r="V755" s="515"/>
      <c r="W755" s="515"/>
      <c r="X755" s="515"/>
      <c r="Y755" s="515"/>
    </row>
    <row r="756" spans="1:25" ht="15.75" customHeight="1">
      <c r="A756" s="697"/>
      <c r="B756" s="698"/>
      <c r="C756" s="527" t="s">
        <v>475</v>
      </c>
      <c r="D756" s="564"/>
      <c r="E756" s="530"/>
      <c r="F756" s="530"/>
      <c r="G756" s="530"/>
      <c r="H756" s="530"/>
      <c r="I756" s="513"/>
      <c r="J756" s="514"/>
      <c r="K756" s="514"/>
      <c r="L756" s="514"/>
      <c r="M756" s="514"/>
      <c r="N756" s="514"/>
      <c r="O756" s="514"/>
      <c r="P756" s="514"/>
      <c r="Q756" s="514"/>
      <c r="R756" s="515"/>
      <c r="S756" s="515"/>
      <c r="T756" s="515"/>
      <c r="U756" s="515"/>
      <c r="V756" s="515"/>
      <c r="W756" s="515"/>
      <c r="X756" s="515"/>
      <c r="Y756" s="515"/>
    </row>
    <row r="757" spans="1:25">
      <c r="A757" s="697"/>
      <c r="B757" s="698"/>
      <c r="C757" s="495" t="s">
        <v>1596</v>
      </c>
      <c r="D757" s="564"/>
      <c r="E757" s="530"/>
      <c r="F757" s="530"/>
      <c r="G757" s="530"/>
      <c r="H757" s="530"/>
      <c r="I757" s="513"/>
      <c r="J757" s="514"/>
      <c r="K757" s="514"/>
      <c r="L757" s="514"/>
      <c r="M757" s="514"/>
      <c r="N757" s="514"/>
      <c r="O757" s="514"/>
      <c r="P757" s="514"/>
      <c r="Q757" s="514"/>
      <c r="R757" s="515"/>
      <c r="S757" s="515"/>
      <c r="T757" s="515"/>
      <c r="U757" s="515"/>
      <c r="V757" s="515"/>
      <c r="W757" s="515"/>
      <c r="X757" s="515"/>
      <c r="Y757" s="515"/>
    </row>
    <row r="758" spans="1:25" ht="15.75" customHeight="1">
      <c r="A758" s="697"/>
      <c r="B758" s="698"/>
      <c r="C758" s="495" t="s">
        <v>1597</v>
      </c>
      <c r="D758" s="564"/>
      <c r="E758" s="530"/>
      <c r="F758" s="530"/>
      <c r="G758" s="530"/>
      <c r="H758" s="530"/>
      <c r="I758" s="513"/>
      <c r="J758" s="514"/>
      <c r="K758" s="514"/>
      <c r="L758" s="514"/>
      <c r="M758" s="514"/>
      <c r="N758" s="514"/>
      <c r="O758" s="514"/>
      <c r="P758" s="514"/>
      <c r="Q758" s="514"/>
      <c r="R758" s="515"/>
      <c r="S758" s="515"/>
      <c r="T758" s="515"/>
      <c r="U758" s="515"/>
      <c r="V758" s="515"/>
      <c r="W758" s="515"/>
      <c r="X758" s="515"/>
      <c r="Y758" s="515"/>
    </row>
    <row r="759" spans="1:25">
      <c r="A759" s="697"/>
      <c r="B759" s="698"/>
      <c r="C759" s="495" t="s">
        <v>1598</v>
      </c>
      <c r="D759" s="564"/>
      <c r="E759" s="530"/>
      <c r="F759" s="530"/>
      <c r="G759" s="530"/>
      <c r="H759" s="530"/>
      <c r="I759" s="513"/>
      <c r="J759" s="514"/>
      <c r="K759" s="514"/>
      <c r="L759" s="514"/>
      <c r="M759" s="514"/>
      <c r="N759" s="514"/>
      <c r="O759" s="514"/>
      <c r="P759" s="514"/>
      <c r="Q759" s="514"/>
      <c r="R759" s="515"/>
      <c r="S759" s="515"/>
      <c r="T759" s="515"/>
      <c r="U759" s="515"/>
      <c r="V759" s="515"/>
      <c r="W759" s="515"/>
      <c r="X759" s="515"/>
      <c r="Y759" s="515"/>
    </row>
    <row r="760" spans="1:25" ht="26.75" customHeight="1">
      <c r="A760" s="697"/>
      <c r="B760" s="698"/>
      <c r="C760" s="495" t="s">
        <v>198</v>
      </c>
      <c r="D760" s="564"/>
      <c r="E760" s="530"/>
      <c r="F760" s="530"/>
      <c r="G760" s="530"/>
      <c r="H760" s="530"/>
      <c r="I760" s="513"/>
      <c r="J760" s="514"/>
      <c r="K760" s="514"/>
      <c r="L760" s="514"/>
      <c r="M760" s="514"/>
      <c r="N760" s="514"/>
      <c r="O760" s="514"/>
      <c r="P760" s="514"/>
      <c r="Q760" s="514"/>
      <c r="R760" s="515"/>
      <c r="S760" s="515"/>
      <c r="T760" s="515"/>
      <c r="U760" s="515"/>
      <c r="V760" s="515"/>
      <c r="W760" s="515"/>
      <c r="X760" s="515"/>
      <c r="Y760" s="515"/>
    </row>
    <row r="761" spans="1:25">
      <c r="A761" s="697"/>
      <c r="B761" s="698"/>
      <c r="C761" s="495" t="s">
        <v>1599</v>
      </c>
      <c r="D761" s="564"/>
      <c r="E761" s="530"/>
      <c r="F761" s="530"/>
      <c r="G761" s="530"/>
      <c r="H761" s="530"/>
      <c r="I761" s="513"/>
      <c r="J761" s="514"/>
      <c r="K761" s="514"/>
      <c r="L761" s="514"/>
      <c r="M761" s="514"/>
      <c r="N761" s="514"/>
      <c r="O761" s="514"/>
      <c r="P761" s="514"/>
      <c r="Q761" s="514"/>
      <c r="R761" s="515"/>
      <c r="S761" s="515"/>
      <c r="T761" s="515"/>
      <c r="U761" s="515"/>
      <c r="V761" s="515"/>
      <c r="W761" s="515"/>
      <c r="X761" s="515"/>
      <c r="Y761" s="515"/>
    </row>
    <row r="762" spans="1:25">
      <c r="A762" s="697"/>
      <c r="B762" s="698"/>
      <c r="C762" s="495" t="s">
        <v>1600</v>
      </c>
      <c r="D762" s="564"/>
      <c r="E762" s="530"/>
      <c r="F762" s="530"/>
      <c r="G762" s="530"/>
      <c r="H762" s="530"/>
      <c r="I762" s="513"/>
      <c r="J762" s="514"/>
      <c r="K762" s="514"/>
      <c r="L762" s="514"/>
      <c r="M762" s="514"/>
      <c r="N762" s="514"/>
      <c r="O762" s="514"/>
      <c r="P762" s="514"/>
      <c r="Q762" s="514"/>
      <c r="R762" s="515"/>
      <c r="S762" s="515"/>
      <c r="T762" s="515"/>
      <c r="U762" s="515"/>
      <c r="V762" s="515"/>
      <c r="W762" s="515"/>
      <c r="X762" s="515"/>
      <c r="Y762" s="515"/>
    </row>
    <row r="763" spans="1:25" ht="15.75" customHeight="1">
      <c r="A763" s="697"/>
      <c r="B763" s="698"/>
      <c r="C763" s="528" t="s">
        <v>476</v>
      </c>
      <c r="D763" s="564"/>
      <c r="E763" s="530"/>
      <c r="F763" s="530"/>
      <c r="G763" s="530"/>
      <c r="H763" s="530"/>
      <c r="I763" s="513"/>
      <c r="J763" s="514"/>
      <c r="K763" s="514"/>
      <c r="L763" s="514"/>
      <c r="M763" s="514"/>
      <c r="N763" s="514"/>
      <c r="O763" s="514"/>
      <c r="P763" s="514"/>
      <c r="Q763" s="514"/>
      <c r="R763" s="515"/>
      <c r="S763" s="515"/>
      <c r="T763" s="515"/>
      <c r="U763" s="515"/>
      <c r="V763" s="515"/>
      <c r="W763" s="515"/>
      <c r="X763" s="515"/>
      <c r="Y763" s="515"/>
    </row>
    <row r="764" spans="1:25" ht="15.75" customHeight="1">
      <c r="A764" s="697"/>
      <c r="B764" s="698"/>
      <c r="C764" s="528" t="s">
        <v>477</v>
      </c>
      <c r="D764" s="564"/>
      <c r="E764" s="530"/>
      <c r="F764" s="530"/>
      <c r="G764" s="530"/>
      <c r="H764" s="530"/>
      <c r="I764" s="513"/>
      <c r="J764" s="514"/>
      <c r="K764" s="514"/>
      <c r="L764" s="514"/>
      <c r="M764" s="514"/>
      <c r="N764" s="514"/>
      <c r="O764" s="514"/>
      <c r="P764" s="514"/>
      <c r="Q764" s="514"/>
      <c r="R764" s="515"/>
      <c r="S764" s="515"/>
      <c r="T764" s="515"/>
      <c r="U764" s="515"/>
      <c r="V764" s="515"/>
      <c r="W764" s="515"/>
      <c r="X764" s="515"/>
      <c r="Y764" s="515"/>
    </row>
    <row r="765" spans="1:25" ht="15.75" customHeight="1">
      <c r="A765" s="697"/>
      <c r="B765" s="698"/>
      <c r="C765" s="528" t="s">
        <v>478</v>
      </c>
      <c r="D765" s="564"/>
      <c r="E765" s="530"/>
      <c r="F765" s="530"/>
      <c r="G765" s="530"/>
      <c r="H765" s="530"/>
      <c r="I765" s="513"/>
      <c r="J765" s="514"/>
      <c r="K765" s="514"/>
      <c r="L765" s="514"/>
      <c r="M765" s="514"/>
      <c r="N765" s="514"/>
      <c r="O765" s="514"/>
      <c r="P765" s="514"/>
      <c r="Q765" s="514"/>
      <c r="R765" s="515"/>
      <c r="S765" s="515"/>
      <c r="T765" s="515"/>
      <c r="U765" s="515"/>
      <c r="V765" s="515"/>
      <c r="W765" s="515"/>
      <c r="X765" s="515"/>
      <c r="Y765" s="515"/>
    </row>
    <row r="766" spans="1:25" ht="15.75" customHeight="1">
      <c r="A766" s="697"/>
      <c r="B766" s="698"/>
      <c r="C766" s="528" t="s">
        <v>479</v>
      </c>
      <c r="D766" s="564"/>
      <c r="E766" s="530"/>
      <c r="F766" s="530"/>
      <c r="G766" s="530"/>
      <c r="H766" s="530"/>
      <c r="I766" s="513"/>
      <c r="J766" s="514"/>
      <c r="K766" s="514"/>
      <c r="L766" s="514"/>
      <c r="M766" s="514"/>
      <c r="N766" s="514"/>
      <c r="O766" s="514"/>
      <c r="P766" s="514"/>
      <c r="Q766" s="514"/>
      <c r="R766" s="515"/>
      <c r="S766" s="515"/>
      <c r="T766" s="515"/>
      <c r="U766" s="515"/>
      <c r="V766" s="515"/>
      <c r="W766" s="515"/>
      <c r="X766" s="515"/>
      <c r="Y766" s="515"/>
    </row>
    <row r="767" spans="1:25" ht="15.75" customHeight="1">
      <c r="A767" s="697"/>
      <c r="B767" s="698"/>
      <c r="C767" s="528" t="s">
        <v>480</v>
      </c>
      <c r="D767" s="564"/>
      <c r="E767" s="530"/>
      <c r="F767" s="530"/>
      <c r="G767" s="530"/>
      <c r="H767" s="530"/>
      <c r="I767" s="513"/>
      <c r="J767" s="514"/>
      <c r="K767" s="514"/>
      <c r="L767" s="514"/>
      <c r="M767" s="514"/>
      <c r="N767" s="514"/>
      <c r="O767" s="514"/>
      <c r="P767" s="514"/>
      <c r="Q767" s="514"/>
      <c r="R767" s="515"/>
      <c r="S767" s="515"/>
      <c r="T767" s="515"/>
      <c r="U767" s="515"/>
      <c r="V767" s="515"/>
      <c r="W767" s="515"/>
      <c r="X767" s="515"/>
      <c r="Y767" s="515"/>
    </row>
    <row r="768" spans="1:25" ht="15.75" customHeight="1">
      <c r="A768" s="697"/>
      <c r="B768" s="698"/>
      <c r="C768" s="528" t="s">
        <v>481</v>
      </c>
      <c r="D768" s="564"/>
      <c r="E768" s="530"/>
      <c r="F768" s="530"/>
      <c r="G768" s="530"/>
      <c r="H768" s="530"/>
      <c r="I768" s="513"/>
      <c r="J768" s="514"/>
      <c r="K768" s="514"/>
      <c r="L768" s="514"/>
      <c r="M768" s="514"/>
      <c r="N768" s="514"/>
      <c r="O768" s="514"/>
      <c r="P768" s="514"/>
      <c r="Q768" s="514"/>
      <c r="R768" s="515"/>
      <c r="S768" s="515"/>
      <c r="T768" s="515"/>
      <c r="U768" s="515"/>
      <c r="V768" s="515"/>
      <c r="W768" s="515"/>
      <c r="X768" s="515"/>
      <c r="Y768" s="515"/>
    </row>
    <row r="769" spans="1:25" ht="15.75" customHeight="1">
      <c r="A769" s="697"/>
      <c r="B769" s="698"/>
      <c r="C769" s="528" t="s">
        <v>482</v>
      </c>
      <c r="D769" s="564"/>
      <c r="E769" s="530"/>
      <c r="F769" s="530"/>
      <c r="G769" s="530"/>
      <c r="H769" s="530"/>
      <c r="I769" s="513"/>
      <c r="J769" s="514"/>
      <c r="K769" s="514"/>
      <c r="L769" s="514"/>
      <c r="M769" s="514"/>
      <c r="N769" s="514"/>
      <c r="O769" s="514"/>
      <c r="P769" s="514"/>
      <c r="Q769" s="514"/>
      <c r="R769" s="515"/>
      <c r="S769" s="515"/>
      <c r="T769" s="515"/>
      <c r="U769" s="515"/>
      <c r="V769" s="515"/>
      <c r="W769" s="515"/>
      <c r="X769" s="515"/>
      <c r="Y769" s="515"/>
    </row>
    <row r="770" spans="1:25" ht="15.75" customHeight="1">
      <c r="A770" s="697"/>
      <c r="B770" s="699"/>
      <c r="C770" s="554" t="s">
        <v>483</v>
      </c>
      <c r="D770" s="568"/>
      <c r="E770" s="535"/>
      <c r="F770" s="535"/>
      <c r="G770" s="535"/>
      <c r="H770" s="535"/>
      <c r="I770" s="513"/>
      <c r="J770" s="514"/>
      <c r="K770" s="514"/>
      <c r="L770" s="514"/>
      <c r="M770" s="514"/>
      <c r="N770" s="514"/>
      <c r="O770" s="514"/>
      <c r="P770" s="514"/>
      <c r="Q770" s="514"/>
      <c r="R770" s="515"/>
      <c r="S770" s="515"/>
      <c r="T770" s="515"/>
      <c r="U770" s="515"/>
      <c r="V770" s="515"/>
      <c r="W770" s="515"/>
      <c r="X770" s="515"/>
      <c r="Y770" s="515"/>
    </row>
    <row r="771" spans="1:25" ht="15.75" customHeight="1">
      <c r="A771" s="697"/>
      <c r="B771" s="700" t="s">
        <v>484</v>
      </c>
      <c r="C771" s="537" t="s">
        <v>1570</v>
      </c>
      <c r="D771" s="570"/>
      <c r="E771" s="539" t="s">
        <v>99</v>
      </c>
      <c r="F771" s="539" t="s">
        <v>485</v>
      </c>
      <c r="G771" s="539"/>
      <c r="H771" s="539"/>
      <c r="I771" s="513"/>
      <c r="J771" s="514"/>
      <c r="K771" s="514"/>
      <c r="L771" s="514"/>
      <c r="M771" s="514"/>
      <c r="N771" s="514"/>
      <c r="O771" s="514"/>
      <c r="P771" s="514"/>
      <c r="Q771" s="514"/>
      <c r="R771" s="515"/>
      <c r="S771" s="515"/>
      <c r="T771" s="515"/>
      <c r="U771" s="515"/>
      <c r="V771" s="515"/>
      <c r="W771" s="515"/>
      <c r="X771" s="515"/>
      <c r="Y771" s="515"/>
    </row>
    <row r="772" spans="1:25" ht="62.5" customHeight="1">
      <c r="A772" s="526"/>
      <c r="B772" s="698"/>
      <c r="C772" s="527" t="s">
        <v>486</v>
      </c>
      <c r="D772" s="564"/>
      <c r="E772" s="530"/>
      <c r="F772" s="530"/>
      <c r="G772" s="530"/>
      <c r="H772" s="530"/>
      <c r="I772" s="513"/>
      <c r="J772" s="514"/>
      <c r="K772" s="514"/>
      <c r="L772" s="514"/>
      <c r="M772" s="514"/>
      <c r="N772" s="514"/>
      <c r="O772" s="514"/>
      <c r="P772" s="514"/>
      <c r="Q772" s="514"/>
      <c r="R772" s="515"/>
      <c r="S772" s="515"/>
      <c r="T772" s="515"/>
      <c r="U772" s="515"/>
      <c r="V772" s="515"/>
      <c r="W772" s="515"/>
      <c r="X772" s="515"/>
      <c r="Y772" s="515"/>
    </row>
    <row r="773" spans="1:25" ht="15.75" customHeight="1">
      <c r="A773" s="526"/>
      <c r="B773" s="698"/>
      <c r="C773" s="537" t="s">
        <v>38</v>
      </c>
      <c r="D773" s="564"/>
      <c r="E773" s="530"/>
      <c r="F773" s="530"/>
      <c r="G773" s="530"/>
      <c r="H773" s="530"/>
      <c r="I773" s="513"/>
      <c r="J773" s="514"/>
      <c r="K773" s="514"/>
      <c r="L773" s="514"/>
      <c r="M773" s="514"/>
      <c r="N773" s="514"/>
      <c r="O773" s="514"/>
      <c r="P773" s="514"/>
      <c r="Q773" s="514"/>
      <c r="R773" s="515"/>
      <c r="S773" s="515"/>
      <c r="T773" s="515"/>
      <c r="U773" s="515"/>
      <c r="V773" s="515"/>
      <c r="W773" s="515"/>
      <c r="X773" s="515"/>
      <c r="Y773" s="515"/>
    </row>
    <row r="774" spans="1:25" ht="50" customHeight="1">
      <c r="A774" s="526"/>
      <c r="B774" s="698"/>
      <c r="C774" s="527" t="s">
        <v>487</v>
      </c>
      <c r="D774" s="564"/>
      <c r="E774" s="530"/>
      <c r="F774" s="530"/>
      <c r="G774" s="530"/>
      <c r="H774" s="530"/>
      <c r="I774" s="513"/>
      <c r="J774" s="514"/>
      <c r="K774" s="514"/>
      <c r="L774" s="514"/>
      <c r="M774" s="514"/>
      <c r="N774" s="514"/>
      <c r="O774" s="514"/>
      <c r="P774" s="514"/>
      <c r="Q774" s="514"/>
      <c r="R774" s="515"/>
      <c r="S774" s="515"/>
      <c r="T774" s="515"/>
      <c r="U774" s="515"/>
      <c r="V774" s="515"/>
      <c r="W774" s="515"/>
      <c r="X774" s="515"/>
      <c r="Y774" s="515"/>
    </row>
    <row r="775" spans="1:25" ht="15.75" customHeight="1">
      <c r="A775" s="526"/>
      <c r="B775" s="698"/>
      <c r="C775" s="528" t="s">
        <v>139</v>
      </c>
      <c r="D775" s="564"/>
      <c r="E775" s="530"/>
      <c r="F775" s="530"/>
      <c r="G775" s="530"/>
      <c r="H775" s="530"/>
      <c r="I775" s="513"/>
      <c r="J775" s="514"/>
      <c r="K775" s="514"/>
      <c r="L775" s="514"/>
      <c r="M775" s="514"/>
      <c r="N775" s="514"/>
      <c r="O775" s="514"/>
      <c r="P775" s="514"/>
      <c r="Q775" s="514"/>
      <c r="R775" s="515"/>
      <c r="S775" s="515"/>
      <c r="T775" s="515"/>
      <c r="U775" s="515"/>
      <c r="V775" s="515"/>
      <c r="W775" s="515"/>
      <c r="X775" s="515"/>
      <c r="Y775" s="515"/>
    </row>
    <row r="776" spans="1:25" ht="15.75" customHeight="1">
      <c r="A776" s="572"/>
      <c r="B776" s="699"/>
      <c r="C776" s="554" t="s">
        <v>481</v>
      </c>
      <c r="D776" s="568"/>
      <c r="E776" s="535"/>
      <c r="F776" s="535"/>
      <c r="G776" s="535"/>
      <c r="H776" s="535"/>
      <c r="I776" s="513"/>
      <c r="J776" s="514"/>
      <c r="K776" s="514"/>
      <c r="L776" s="514"/>
      <c r="M776" s="514"/>
      <c r="N776" s="514"/>
      <c r="O776" s="514"/>
      <c r="P776" s="514"/>
      <c r="Q776" s="514"/>
      <c r="R776" s="515"/>
      <c r="S776" s="515"/>
      <c r="T776" s="515"/>
      <c r="U776" s="515"/>
      <c r="V776" s="515"/>
      <c r="W776" s="515"/>
      <c r="X776" s="515"/>
      <c r="Y776" s="515"/>
    </row>
    <row r="777" spans="1:25" ht="15.75" customHeight="1">
      <c r="A777" s="721" t="s">
        <v>488</v>
      </c>
      <c r="B777" s="698" t="s">
        <v>489</v>
      </c>
      <c r="C777" s="537" t="s">
        <v>1570</v>
      </c>
      <c r="D777" s="564"/>
      <c r="E777" s="530"/>
      <c r="F777" s="530" t="s">
        <v>471</v>
      </c>
      <c r="G777" s="530"/>
      <c r="H777" s="530"/>
      <c r="I777" s="513"/>
      <c r="J777" s="514"/>
      <c r="K777" s="514"/>
      <c r="L777" s="514"/>
      <c r="M777" s="514"/>
      <c r="N777" s="514"/>
      <c r="O777" s="514"/>
      <c r="P777" s="514"/>
      <c r="Q777" s="514"/>
      <c r="R777" s="515"/>
      <c r="S777" s="515"/>
      <c r="T777" s="515"/>
      <c r="U777" s="515"/>
      <c r="V777" s="515"/>
      <c r="W777" s="515"/>
      <c r="X777" s="515"/>
      <c r="Y777" s="515"/>
    </row>
    <row r="778" spans="1:25" ht="50" customHeight="1">
      <c r="A778" s="697"/>
      <c r="B778" s="698"/>
      <c r="C778" s="527" t="s">
        <v>490</v>
      </c>
      <c r="D778" s="564"/>
      <c r="E778" s="530"/>
      <c r="F778" s="530"/>
      <c r="G778" s="530"/>
      <c r="H778" s="530"/>
      <c r="I778" s="513"/>
      <c r="J778" s="514"/>
      <c r="K778" s="514"/>
      <c r="L778" s="514"/>
      <c r="M778" s="514"/>
      <c r="N778" s="514"/>
      <c r="O778" s="514"/>
      <c r="P778" s="514"/>
      <c r="Q778" s="514"/>
      <c r="R778" s="515"/>
      <c r="S778" s="515"/>
      <c r="T778" s="515"/>
      <c r="U778" s="515"/>
      <c r="V778" s="515"/>
      <c r="W778" s="515"/>
      <c r="X778" s="515"/>
      <c r="Y778" s="515"/>
    </row>
    <row r="779" spans="1:25" ht="15.75" customHeight="1">
      <c r="A779" s="697"/>
      <c r="B779" s="698"/>
      <c r="C779" s="537" t="s">
        <v>38</v>
      </c>
      <c r="D779" s="564"/>
      <c r="E779" s="530"/>
      <c r="F779" s="530"/>
      <c r="G779" s="530"/>
      <c r="H779" s="530"/>
      <c r="I779" s="513"/>
      <c r="J779" s="514"/>
      <c r="K779" s="514"/>
      <c r="L779" s="514"/>
      <c r="M779" s="514"/>
      <c r="N779" s="514"/>
      <c r="O779" s="514"/>
      <c r="P779" s="514"/>
      <c r="Q779" s="514"/>
      <c r="R779" s="515"/>
      <c r="S779" s="515"/>
      <c r="T779" s="515"/>
      <c r="U779" s="515"/>
      <c r="V779" s="515"/>
      <c r="W779" s="515"/>
      <c r="X779" s="515"/>
      <c r="Y779" s="515"/>
    </row>
    <row r="780" spans="1:25" ht="50" customHeight="1">
      <c r="A780" s="697"/>
      <c r="B780" s="698"/>
      <c r="C780" s="527" t="s">
        <v>491</v>
      </c>
      <c r="D780" s="564"/>
      <c r="E780" s="530"/>
      <c r="F780" s="530"/>
      <c r="G780" s="530"/>
      <c r="H780" s="530"/>
      <c r="I780" s="513"/>
      <c r="J780" s="514"/>
      <c r="K780" s="514"/>
      <c r="L780" s="514"/>
      <c r="M780" s="514"/>
      <c r="N780" s="514"/>
      <c r="O780" s="514"/>
      <c r="P780" s="514"/>
      <c r="Q780" s="514"/>
      <c r="R780" s="515"/>
      <c r="S780" s="515"/>
      <c r="T780" s="515"/>
      <c r="U780" s="515"/>
      <c r="V780" s="515"/>
      <c r="W780" s="515"/>
      <c r="X780" s="515"/>
      <c r="Y780" s="515"/>
    </row>
    <row r="781" spans="1:25" ht="15.75" customHeight="1">
      <c r="A781" s="697"/>
      <c r="B781" s="698"/>
      <c r="C781" s="528" t="s">
        <v>139</v>
      </c>
      <c r="D781" s="564"/>
      <c r="E781" s="530"/>
      <c r="F781" s="530"/>
      <c r="G781" s="530"/>
      <c r="H781" s="530"/>
      <c r="I781" s="513"/>
      <c r="J781" s="514"/>
      <c r="K781" s="514"/>
      <c r="L781" s="514"/>
      <c r="M781" s="514"/>
      <c r="N781" s="514"/>
      <c r="O781" s="514"/>
      <c r="P781" s="514"/>
      <c r="Q781" s="514"/>
      <c r="R781" s="515"/>
      <c r="S781" s="515"/>
      <c r="T781" s="515"/>
      <c r="U781" s="515"/>
      <c r="V781" s="515"/>
      <c r="W781" s="515"/>
      <c r="X781" s="515"/>
      <c r="Y781" s="515"/>
    </row>
    <row r="782" spans="1:25" ht="15.75" customHeight="1">
      <c r="A782" s="718"/>
      <c r="B782" s="699"/>
      <c r="C782" s="554" t="s">
        <v>481</v>
      </c>
      <c r="D782" s="568"/>
      <c r="E782" s="535"/>
      <c r="F782" s="535"/>
      <c r="G782" s="535"/>
      <c r="H782" s="535"/>
      <c r="I782" s="513"/>
      <c r="J782" s="514"/>
      <c r="K782" s="514"/>
      <c r="L782" s="514"/>
      <c r="M782" s="514"/>
      <c r="N782" s="514"/>
      <c r="O782" s="514"/>
      <c r="P782" s="514"/>
      <c r="Q782" s="514"/>
      <c r="R782" s="515"/>
      <c r="S782" s="515"/>
      <c r="T782" s="515"/>
      <c r="U782" s="515"/>
      <c r="V782" s="515"/>
      <c r="W782" s="515"/>
      <c r="X782" s="515"/>
      <c r="Y782" s="515"/>
    </row>
    <row r="783" spans="1:25" ht="15.75" customHeight="1">
      <c r="A783" s="736" t="s">
        <v>492</v>
      </c>
      <c r="B783" s="700" t="s">
        <v>493</v>
      </c>
      <c r="C783" s="537" t="s">
        <v>26</v>
      </c>
      <c r="D783" s="570"/>
      <c r="E783" s="539"/>
      <c r="F783" s="539" t="s">
        <v>471</v>
      </c>
      <c r="G783" s="539"/>
      <c r="H783" s="539"/>
      <c r="I783" s="513"/>
      <c r="J783" s="514"/>
      <c r="K783" s="514"/>
      <c r="L783" s="514"/>
      <c r="M783" s="514"/>
      <c r="N783" s="514"/>
      <c r="O783" s="514"/>
      <c r="P783" s="514"/>
      <c r="Q783" s="514"/>
      <c r="R783" s="515"/>
      <c r="S783" s="515"/>
      <c r="T783" s="515"/>
      <c r="U783" s="515"/>
      <c r="V783" s="515"/>
      <c r="W783" s="515"/>
      <c r="X783" s="515"/>
      <c r="Y783" s="515"/>
    </row>
    <row r="784" spans="1:25" ht="50" customHeight="1">
      <c r="A784" s="697"/>
      <c r="B784" s="698"/>
      <c r="C784" s="527" t="s">
        <v>494</v>
      </c>
      <c r="D784" s="564"/>
      <c r="E784" s="530"/>
      <c r="F784" s="530"/>
      <c r="G784" s="530"/>
      <c r="H784" s="530"/>
      <c r="I784" s="513"/>
      <c r="J784" s="514"/>
      <c r="K784" s="514"/>
      <c r="L784" s="514"/>
      <c r="M784" s="514"/>
      <c r="N784" s="514"/>
      <c r="O784" s="514"/>
      <c r="P784" s="514"/>
      <c r="Q784" s="514"/>
      <c r="R784" s="515"/>
      <c r="S784" s="515"/>
      <c r="T784" s="515"/>
      <c r="U784" s="515"/>
      <c r="V784" s="515"/>
      <c r="W784" s="515"/>
      <c r="X784" s="515"/>
      <c r="Y784" s="515"/>
    </row>
    <row r="785" spans="1:25" ht="15.75" customHeight="1">
      <c r="A785" s="697"/>
      <c r="B785" s="698"/>
      <c r="C785" s="537" t="s">
        <v>38</v>
      </c>
      <c r="D785" s="564"/>
      <c r="E785" s="530"/>
      <c r="F785" s="530"/>
      <c r="G785" s="530"/>
      <c r="H785" s="530"/>
      <c r="I785" s="513"/>
      <c r="J785" s="514"/>
      <c r="K785" s="514"/>
      <c r="L785" s="514"/>
      <c r="M785" s="514"/>
      <c r="N785" s="514"/>
      <c r="O785" s="514"/>
      <c r="P785" s="514"/>
      <c r="Q785" s="514"/>
      <c r="R785" s="515"/>
      <c r="S785" s="515"/>
      <c r="T785" s="515"/>
      <c r="U785" s="515"/>
      <c r="V785" s="515"/>
      <c r="W785" s="515"/>
      <c r="X785" s="515"/>
      <c r="Y785" s="515"/>
    </row>
    <row r="786" spans="1:25" ht="50" customHeight="1">
      <c r="A786" s="697"/>
      <c r="B786" s="698"/>
      <c r="C786" s="527" t="s">
        <v>487</v>
      </c>
      <c r="D786" s="564"/>
      <c r="E786" s="530"/>
      <c r="F786" s="530"/>
      <c r="G786" s="530"/>
      <c r="H786" s="530"/>
      <c r="I786" s="513"/>
      <c r="J786" s="514"/>
      <c r="K786" s="514"/>
      <c r="L786" s="514"/>
      <c r="M786" s="514"/>
      <c r="N786" s="514"/>
      <c r="O786" s="514"/>
      <c r="P786" s="514"/>
      <c r="Q786" s="514"/>
      <c r="R786" s="515"/>
      <c r="S786" s="515"/>
      <c r="T786" s="515"/>
      <c r="U786" s="515"/>
      <c r="V786" s="515"/>
      <c r="W786" s="515"/>
      <c r="X786" s="515"/>
      <c r="Y786" s="515"/>
    </row>
    <row r="787" spans="1:25" ht="15.75" customHeight="1">
      <c r="A787" s="697"/>
      <c r="B787" s="698"/>
      <c r="C787" s="553" t="s">
        <v>47</v>
      </c>
      <c r="D787" s="564"/>
      <c r="E787" s="530"/>
      <c r="F787" s="530"/>
      <c r="G787" s="530"/>
      <c r="H787" s="530"/>
      <c r="I787" s="513"/>
      <c r="J787" s="514"/>
      <c r="K787" s="514"/>
      <c r="L787" s="514"/>
      <c r="M787" s="514"/>
      <c r="N787" s="514"/>
      <c r="O787" s="514"/>
      <c r="P787" s="514"/>
      <c r="Q787" s="514"/>
      <c r="R787" s="515"/>
      <c r="S787" s="515"/>
      <c r="T787" s="515"/>
      <c r="U787" s="515"/>
      <c r="V787" s="515"/>
      <c r="W787" s="515"/>
      <c r="X787" s="515"/>
      <c r="Y787" s="515"/>
    </row>
    <row r="788" spans="1:25" ht="15.75" customHeight="1">
      <c r="A788" s="697"/>
      <c r="B788" s="698"/>
      <c r="C788" s="495" t="s">
        <v>73</v>
      </c>
      <c r="D788" s="564"/>
      <c r="E788" s="530"/>
      <c r="F788" s="530"/>
      <c r="G788" s="530"/>
      <c r="H788" s="530"/>
      <c r="I788" s="513"/>
      <c r="J788" s="514"/>
      <c r="K788" s="514"/>
      <c r="L788" s="514"/>
      <c r="M788" s="514"/>
      <c r="N788" s="514"/>
      <c r="O788" s="514"/>
      <c r="P788" s="514"/>
      <c r="Q788" s="514"/>
      <c r="R788" s="515"/>
      <c r="S788" s="515"/>
      <c r="T788" s="515"/>
      <c r="U788" s="515"/>
      <c r="V788" s="515"/>
      <c r="W788" s="515"/>
      <c r="X788" s="515"/>
      <c r="Y788" s="515"/>
    </row>
    <row r="789" spans="1:25" ht="14" customHeight="1">
      <c r="A789" s="697"/>
      <c r="B789" s="698"/>
      <c r="C789" s="527" t="s">
        <v>495</v>
      </c>
      <c r="D789" s="564"/>
      <c r="E789" s="530"/>
      <c r="F789" s="530"/>
      <c r="G789" s="530"/>
      <c r="H789" s="530"/>
      <c r="I789" s="513"/>
      <c r="J789" s="514"/>
      <c r="K789" s="514"/>
      <c r="L789" s="514"/>
      <c r="M789" s="514"/>
      <c r="N789" s="514"/>
      <c r="O789" s="514"/>
      <c r="P789" s="514"/>
      <c r="Q789" s="514"/>
      <c r="R789" s="515"/>
      <c r="S789" s="515"/>
      <c r="T789" s="515"/>
      <c r="U789" s="515"/>
      <c r="V789" s="515"/>
      <c r="W789" s="515"/>
      <c r="X789" s="515"/>
      <c r="Y789" s="515"/>
    </row>
    <row r="790" spans="1:25" ht="15.75" customHeight="1">
      <c r="A790" s="697"/>
      <c r="B790" s="698"/>
      <c r="C790" s="528" t="s">
        <v>139</v>
      </c>
      <c r="D790" s="564"/>
      <c r="E790" s="530"/>
      <c r="F790" s="530"/>
      <c r="G790" s="530"/>
      <c r="H790" s="530"/>
      <c r="I790" s="513"/>
      <c r="J790" s="514"/>
      <c r="K790" s="514"/>
      <c r="L790" s="514"/>
      <c r="M790" s="514"/>
      <c r="N790" s="514"/>
      <c r="O790" s="514"/>
      <c r="P790" s="514"/>
      <c r="Q790" s="514"/>
      <c r="R790" s="515"/>
      <c r="S790" s="515"/>
      <c r="T790" s="515"/>
      <c r="U790" s="515"/>
      <c r="V790" s="515"/>
      <c r="W790" s="515"/>
      <c r="X790" s="515"/>
      <c r="Y790" s="515"/>
    </row>
    <row r="791" spans="1:25" ht="15.75" customHeight="1">
      <c r="A791" s="718"/>
      <c r="B791" s="699"/>
      <c r="C791" s="554" t="s">
        <v>481</v>
      </c>
      <c r="D791" s="568"/>
      <c r="E791" s="535"/>
      <c r="F791" s="535"/>
      <c r="G791" s="535"/>
      <c r="H791" s="535"/>
      <c r="I791" s="513"/>
      <c r="J791" s="514"/>
      <c r="K791" s="514"/>
      <c r="L791" s="514"/>
      <c r="M791" s="514"/>
      <c r="N791" s="514"/>
      <c r="O791" s="514"/>
      <c r="P791" s="514"/>
      <c r="Q791" s="514"/>
      <c r="R791" s="515"/>
      <c r="S791" s="515"/>
      <c r="T791" s="515"/>
      <c r="U791" s="515"/>
      <c r="V791" s="515"/>
      <c r="W791" s="515"/>
      <c r="X791" s="515"/>
      <c r="Y791" s="515"/>
    </row>
    <row r="792" spans="1:25" ht="15.75" customHeight="1">
      <c r="A792" s="736" t="s">
        <v>496</v>
      </c>
      <c r="B792" s="700" t="s">
        <v>497</v>
      </c>
      <c r="C792" s="537" t="s">
        <v>1570</v>
      </c>
      <c r="D792" s="570"/>
      <c r="E792" s="539" t="s">
        <v>99</v>
      </c>
      <c r="F792" s="539" t="s">
        <v>498</v>
      </c>
      <c r="G792" s="539"/>
      <c r="H792" s="539"/>
      <c r="I792" s="513"/>
      <c r="J792" s="514"/>
      <c r="K792" s="514"/>
      <c r="L792" s="514"/>
      <c r="M792" s="514"/>
      <c r="N792" s="514"/>
      <c r="O792" s="514"/>
      <c r="P792" s="514"/>
      <c r="Q792" s="514"/>
      <c r="R792" s="515"/>
      <c r="S792" s="515"/>
      <c r="T792" s="515"/>
      <c r="U792" s="515"/>
      <c r="V792" s="515"/>
      <c r="W792" s="515"/>
      <c r="X792" s="515"/>
      <c r="Y792" s="515"/>
    </row>
    <row r="793" spans="1:25" ht="26.75" customHeight="1">
      <c r="A793" s="697"/>
      <c r="B793" s="698"/>
      <c r="C793" s="527" t="s">
        <v>499</v>
      </c>
      <c r="D793" s="564"/>
      <c r="E793" s="530"/>
      <c r="F793" s="530"/>
      <c r="G793" s="530"/>
      <c r="H793" s="530"/>
      <c r="I793" s="513"/>
      <c r="J793" s="514"/>
      <c r="K793" s="514"/>
      <c r="L793" s="514"/>
      <c r="M793" s="514"/>
      <c r="N793" s="514"/>
      <c r="O793" s="514"/>
      <c r="P793" s="514"/>
      <c r="Q793" s="514"/>
      <c r="R793" s="515"/>
      <c r="S793" s="515"/>
      <c r="T793" s="515"/>
      <c r="U793" s="515"/>
      <c r="V793" s="515"/>
      <c r="W793" s="515"/>
      <c r="X793" s="515"/>
      <c r="Y793" s="515"/>
    </row>
    <row r="794" spans="1:25" ht="15.75" customHeight="1">
      <c r="A794" s="697"/>
      <c r="B794" s="698"/>
      <c r="C794" s="537" t="s">
        <v>38</v>
      </c>
      <c r="D794" s="564"/>
      <c r="E794" s="530"/>
      <c r="F794" s="530"/>
      <c r="G794" s="530"/>
      <c r="H794" s="530"/>
      <c r="I794" s="513"/>
      <c r="J794" s="514"/>
      <c r="K794" s="514"/>
      <c r="L794" s="514"/>
      <c r="M794" s="514"/>
      <c r="N794" s="514"/>
      <c r="O794" s="514"/>
      <c r="P794" s="514"/>
      <c r="Q794" s="514"/>
      <c r="R794" s="515"/>
      <c r="S794" s="515"/>
      <c r="T794" s="515"/>
      <c r="U794" s="515"/>
      <c r="V794" s="515"/>
      <c r="W794" s="515"/>
      <c r="X794" s="515"/>
      <c r="Y794" s="515"/>
    </row>
    <row r="795" spans="1:25" ht="15.75" customHeight="1">
      <c r="A795" s="697"/>
      <c r="B795" s="698"/>
      <c r="C795" s="527" t="s">
        <v>500</v>
      </c>
      <c r="D795" s="564"/>
      <c r="E795" s="530"/>
      <c r="F795" s="530"/>
      <c r="G795" s="530"/>
      <c r="H795" s="530"/>
      <c r="I795" s="513"/>
      <c r="J795" s="514"/>
      <c r="K795" s="514"/>
      <c r="L795" s="514"/>
      <c r="M795" s="514"/>
      <c r="N795" s="514"/>
      <c r="O795" s="514"/>
      <c r="P795" s="514"/>
      <c r="Q795" s="514"/>
      <c r="R795" s="515"/>
      <c r="S795" s="515"/>
      <c r="T795" s="515"/>
      <c r="U795" s="515"/>
      <c r="V795" s="515"/>
      <c r="W795" s="515"/>
      <c r="X795" s="515"/>
      <c r="Y795" s="515"/>
    </row>
    <row r="796" spans="1:25" ht="15.75" customHeight="1">
      <c r="A796" s="697"/>
      <c r="B796" s="698"/>
      <c r="C796" s="553" t="s">
        <v>47</v>
      </c>
      <c r="D796" s="564"/>
      <c r="E796" s="530"/>
      <c r="F796" s="530"/>
      <c r="G796" s="530"/>
      <c r="H796" s="530"/>
      <c r="I796" s="513"/>
      <c r="J796" s="514"/>
      <c r="K796" s="514"/>
      <c r="L796" s="514"/>
      <c r="M796" s="514"/>
      <c r="N796" s="514"/>
      <c r="O796" s="514"/>
      <c r="P796" s="514"/>
      <c r="Q796" s="514"/>
      <c r="R796" s="515"/>
      <c r="S796" s="515"/>
      <c r="T796" s="515"/>
      <c r="U796" s="515"/>
      <c r="V796" s="515"/>
      <c r="W796" s="515"/>
      <c r="X796" s="515"/>
      <c r="Y796" s="515"/>
    </row>
    <row r="797" spans="1:25" ht="26">
      <c r="A797" s="697"/>
      <c r="B797" s="698"/>
      <c r="C797" s="527" t="s">
        <v>501</v>
      </c>
      <c r="D797" s="564"/>
      <c r="E797" s="530"/>
      <c r="F797" s="530"/>
      <c r="G797" s="530"/>
      <c r="H797" s="530"/>
      <c r="I797" s="513"/>
      <c r="J797" s="514"/>
      <c r="K797" s="514"/>
      <c r="L797" s="514"/>
      <c r="M797" s="514"/>
      <c r="N797" s="514"/>
      <c r="O797" s="514"/>
      <c r="P797" s="514"/>
      <c r="Q797" s="514"/>
      <c r="R797" s="515"/>
      <c r="S797" s="515"/>
      <c r="T797" s="515"/>
      <c r="U797" s="515"/>
      <c r="V797" s="515"/>
      <c r="W797" s="515"/>
      <c r="X797" s="515"/>
      <c r="Y797" s="515"/>
    </row>
    <row r="798" spans="1:25" ht="15.75" customHeight="1">
      <c r="A798" s="697"/>
      <c r="B798" s="698"/>
      <c r="C798" s="495" t="s">
        <v>502</v>
      </c>
      <c r="D798" s="564"/>
      <c r="E798" s="530"/>
      <c r="F798" s="530"/>
      <c r="G798" s="530"/>
      <c r="H798" s="530"/>
      <c r="I798" s="513"/>
      <c r="J798" s="514"/>
      <c r="K798" s="514"/>
      <c r="L798" s="514"/>
      <c r="M798" s="514"/>
      <c r="N798" s="514"/>
      <c r="O798" s="514"/>
      <c r="P798" s="514"/>
      <c r="Q798" s="514"/>
      <c r="R798" s="515"/>
      <c r="S798" s="515"/>
      <c r="T798" s="515"/>
      <c r="U798" s="515"/>
      <c r="V798" s="515"/>
      <c r="W798" s="515"/>
      <c r="X798" s="515"/>
      <c r="Y798" s="515"/>
    </row>
    <row r="799" spans="1:25" ht="26.75" customHeight="1">
      <c r="A799" s="718"/>
      <c r="B799" s="699"/>
      <c r="C799" s="494" t="s">
        <v>198</v>
      </c>
      <c r="D799" s="568"/>
      <c r="E799" s="535"/>
      <c r="F799" s="535"/>
      <c r="G799" s="535"/>
      <c r="H799" s="535"/>
      <c r="I799" s="513"/>
      <c r="J799" s="514"/>
      <c r="K799" s="514"/>
      <c r="L799" s="514"/>
      <c r="M799" s="514"/>
      <c r="N799" s="514"/>
      <c r="O799" s="514"/>
      <c r="P799" s="514"/>
      <c r="Q799" s="514"/>
      <c r="R799" s="515"/>
      <c r="S799" s="515"/>
      <c r="T799" s="515"/>
      <c r="U799" s="515"/>
      <c r="V799" s="515"/>
      <c r="W799" s="515"/>
      <c r="X799" s="515"/>
      <c r="Y799" s="515"/>
    </row>
    <row r="800" spans="1:25" ht="15.75" customHeight="1">
      <c r="A800" s="697" t="s">
        <v>503</v>
      </c>
      <c r="B800" s="527"/>
      <c r="C800" s="537" t="s">
        <v>38</v>
      </c>
      <c r="D800" s="564"/>
      <c r="E800" s="530" t="s">
        <v>99</v>
      </c>
      <c r="F800" s="530" t="s">
        <v>498</v>
      </c>
      <c r="G800" s="530"/>
      <c r="H800" s="530"/>
      <c r="I800" s="513"/>
      <c r="J800" s="514"/>
      <c r="K800" s="514"/>
      <c r="L800" s="514"/>
      <c r="M800" s="514"/>
      <c r="N800" s="514"/>
      <c r="O800" s="514"/>
      <c r="P800" s="514"/>
      <c r="Q800" s="514"/>
      <c r="R800" s="515"/>
      <c r="S800" s="515"/>
      <c r="T800" s="515"/>
      <c r="U800" s="515"/>
      <c r="V800" s="515"/>
      <c r="W800" s="515"/>
      <c r="X800" s="515"/>
      <c r="Y800" s="515"/>
    </row>
    <row r="801" spans="1:25" ht="15.75" customHeight="1">
      <c r="A801" s="697"/>
      <c r="B801" s="527"/>
      <c r="C801" s="527" t="s">
        <v>504</v>
      </c>
      <c r="D801" s="564"/>
      <c r="E801" s="530"/>
      <c r="F801" s="530"/>
      <c r="G801" s="530"/>
      <c r="H801" s="530"/>
      <c r="I801" s="513"/>
      <c r="J801" s="514"/>
      <c r="K801" s="514"/>
      <c r="L801" s="514"/>
      <c r="M801" s="514"/>
      <c r="N801" s="514"/>
      <c r="O801" s="514"/>
      <c r="P801" s="514"/>
      <c r="Q801" s="514"/>
      <c r="R801" s="515"/>
      <c r="S801" s="515"/>
      <c r="T801" s="515"/>
      <c r="U801" s="515"/>
      <c r="V801" s="515"/>
      <c r="W801" s="515"/>
      <c r="X801" s="515"/>
      <c r="Y801" s="515"/>
    </row>
    <row r="802" spans="1:25" ht="15.75" customHeight="1">
      <c r="A802" s="697"/>
      <c r="B802" s="527"/>
      <c r="C802" s="553" t="s">
        <v>47</v>
      </c>
      <c r="D802" s="564"/>
      <c r="E802" s="530"/>
      <c r="F802" s="530"/>
      <c r="G802" s="530"/>
      <c r="H802" s="530"/>
      <c r="I802" s="513"/>
      <c r="J802" s="514"/>
      <c r="K802" s="514"/>
      <c r="L802" s="514"/>
      <c r="M802" s="514"/>
      <c r="N802" s="514"/>
      <c r="O802" s="514"/>
      <c r="P802" s="514"/>
      <c r="Q802" s="514"/>
      <c r="R802" s="515"/>
      <c r="S802" s="515"/>
      <c r="T802" s="515"/>
      <c r="U802" s="515"/>
      <c r="V802" s="515"/>
      <c r="W802" s="515"/>
      <c r="X802" s="515"/>
      <c r="Y802" s="515"/>
    </row>
    <row r="803" spans="1:25" ht="26.75" customHeight="1">
      <c r="A803" s="697"/>
      <c r="B803" s="527"/>
      <c r="C803" s="492" t="s">
        <v>198</v>
      </c>
      <c r="D803" s="564"/>
      <c r="E803" s="530"/>
      <c r="F803" s="530"/>
      <c r="G803" s="530"/>
      <c r="H803" s="530"/>
      <c r="I803" s="513"/>
      <c r="J803" s="514"/>
      <c r="K803" s="514"/>
      <c r="L803" s="514"/>
      <c r="M803" s="514"/>
      <c r="N803" s="514"/>
      <c r="O803" s="514"/>
      <c r="P803" s="514"/>
      <c r="Q803" s="514"/>
      <c r="R803" s="515"/>
      <c r="S803" s="515"/>
      <c r="T803" s="515"/>
      <c r="U803" s="515"/>
      <c r="V803" s="515"/>
      <c r="W803" s="515"/>
      <c r="X803" s="515"/>
      <c r="Y803" s="515"/>
    </row>
    <row r="804" spans="1:25" ht="15.75" customHeight="1">
      <c r="A804" s="717" t="s">
        <v>505</v>
      </c>
      <c r="B804" s="717"/>
      <c r="C804" s="717"/>
      <c r="D804" s="717"/>
      <c r="E804" s="719"/>
      <c r="F804" s="719"/>
      <c r="G804" s="719"/>
      <c r="H804" s="719"/>
      <c r="I804" s="513"/>
      <c r="J804" s="514"/>
      <c r="K804" s="514"/>
      <c r="L804" s="514"/>
      <c r="M804" s="514"/>
      <c r="N804" s="514"/>
      <c r="O804" s="514"/>
      <c r="P804" s="514"/>
      <c r="Q804" s="514"/>
      <c r="R804" s="515"/>
      <c r="S804" s="515"/>
      <c r="T804" s="515"/>
      <c r="U804" s="515"/>
      <c r="V804" s="515"/>
      <c r="W804" s="515"/>
      <c r="X804" s="515"/>
      <c r="Y804" s="515"/>
    </row>
    <row r="805" spans="1:25" ht="15.75" customHeight="1">
      <c r="A805" s="697" t="s">
        <v>155</v>
      </c>
      <c r="B805" s="527" t="s">
        <v>161</v>
      </c>
      <c r="C805" s="537" t="s">
        <v>1570</v>
      </c>
      <c r="D805" s="564"/>
      <c r="E805" s="530"/>
      <c r="F805" s="530"/>
      <c r="G805" s="530"/>
      <c r="H805" s="530"/>
      <c r="I805" s="513"/>
      <c r="J805" s="514"/>
      <c r="K805" s="514"/>
      <c r="L805" s="514"/>
      <c r="M805" s="514"/>
      <c r="N805" s="514"/>
      <c r="O805" s="514"/>
      <c r="P805" s="514"/>
      <c r="Q805" s="514"/>
      <c r="R805" s="515"/>
      <c r="S805" s="515"/>
      <c r="T805" s="515"/>
      <c r="U805" s="515"/>
      <c r="V805" s="515"/>
      <c r="W805" s="515"/>
      <c r="X805" s="515"/>
      <c r="Y805" s="515"/>
    </row>
    <row r="806" spans="1:25" ht="39.25" customHeight="1">
      <c r="A806" s="697"/>
      <c r="B806" s="537"/>
      <c r="C806" s="527" t="s">
        <v>506</v>
      </c>
      <c r="D806" s="564"/>
      <c r="E806" s="530"/>
      <c r="F806" s="530"/>
      <c r="G806" s="530"/>
      <c r="H806" s="530"/>
      <c r="I806" s="513"/>
      <c r="J806" s="514"/>
      <c r="K806" s="514"/>
      <c r="L806" s="514"/>
      <c r="M806" s="514"/>
      <c r="N806" s="514"/>
      <c r="O806" s="514"/>
      <c r="P806" s="514"/>
      <c r="Q806" s="514"/>
      <c r="R806" s="515"/>
      <c r="S806" s="515"/>
      <c r="T806" s="515"/>
      <c r="U806" s="515"/>
      <c r="V806" s="515"/>
      <c r="W806" s="515"/>
      <c r="X806" s="515"/>
      <c r="Y806" s="515"/>
    </row>
    <row r="807" spans="1:25" ht="15.75" customHeight="1">
      <c r="A807" s="697"/>
      <c r="B807" s="527"/>
      <c r="C807" s="537" t="s">
        <v>38</v>
      </c>
      <c r="D807" s="564"/>
      <c r="E807" s="530"/>
      <c r="F807" s="530"/>
      <c r="G807" s="530"/>
      <c r="H807" s="530"/>
      <c r="I807" s="513"/>
      <c r="J807" s="514"/>
      <c r="K807" s="514"/>
      <c r="L807" s="514"/>
      <c r="M807" s="514"/>
      <c r="N807" s="514"/>
      <c r="O807" s="514"/>
      <c r="P807" s="514"/>
      <c r="Q807" s="514"/>
      <c r="R807" s="515"/>
      <c r="S807" s="515"/>
      <c r="T807" s="515"/>
      <c r="U807" s="515"/>
      <c r="V807" s="515"/>
      <c r="W807" s="515"/>
      <c r="X807" s="515"/>
      <c r="Y807" s="515"/>
    </row>
    <row r="808" spans="1:25" ht="26.75" customHeight="1">
      <c r="A808" s="697"/>
      <c r="B808" s="527"/>
      <c r="C808" s="527" t="s">
        <v>507</v>
      </c>
      <c r="D808" s="564"/>
      <c r="E808" s="530"/>
      <c r="F808" s="530"/>
      <c r="G808" s="530"/>
      <c r="H808" s="530"/>
      <c r="I808" s="513"/>
      <c r="J808" s="514"/>
      <c r="K808" s="514"/>
      <c r="L808" s="514"/>
      <c r="M808" s="514"/>
      <c r="N808" s="514"/>
      <c r="O808" s="514"/>
      <c r="P808" s="514"/>
      <c r="Q808" s="514"/>
      <c r="R808" s="515"/>
      <c r="S808" s="515"/>
      <c r="T808" s="515"/>
      <c r="U808" s="515"/>
      <c r="V808" s="515"/>
      <c r="W808" s="515"/>
      <c r="X808" s="515"/>
      <c r="Y808" s="515"/>
    </row>
    <row r="809" spans="1:25" ht="15.75" customHeight="1">
      <c r="A809" s="697"/>
      <c r="B809" s="527"/>
      <c r="C809" s="553" t="s">
        <v>47</v>
      </c>
      <c r="D809" s="564"/>
      <c r="E809" s="530"/>
      <c r="F809" s="530"/>
      <c r="G809" s="530"/>
      <c r="H809" s="530"/>
      <c r="I809" s="513"/>
      <c r="J809" s="514"/>
      <c r="K809" s="514"/>
      <c r="L809" s="514"/>
      <c r="M809" s="514"/>
      <c r="N809" s="514"/>
      <c r="O809" s="514"/>
      <c r="P809" s="514"/>
      <c r="Q809" s="514"/>
      <c r="R809" s="515"/>
      <c r="S809" s="515"/>
      <c r="T809" s="515"/>
      <c r="U809" s="515"/>
      <c r="V809" s="515"/>
      <c r="W809" s="515"/>
      <c r="X809" s="515"/>
      <c r="Y809" s="515"/>
    </row>
    <row r="810" spans="1:25" ht="15.75" customHeight="1">
      <c r="A810" s="697"/>
      <c r="B810" s="527"/>
      <c r="C810" s="495" t="s">
        <v>73</v>
      </c>
      <c r="D810" s="564"/>
      <c r="E810" s="530"/>
      <c r="F810" s="530"/>
      <c r="G810" s="530"/>
      <c r="H810" s="530"/>
      <c r="I810" s="513"/>
      <c r="J810" s="514"/>
      <c r="K810" s="514"/>
      <c r="L810" s="514"/>
      <c r="M810" s="514"/>
      <c r="N810" s="514"/>
      <c r="O810" s="514"/>
      <c r="P810" s="514"/>
      <c r="Q810" s="514"/>
      <c r="R810" s="515"/>
      <c r="S810" s="515"/>
      <c r="T810" s="515"/>
      <c r="U810" s="515"/>
      <c r="V810" s="515"/>
      <c r="W810" s="515"/>
      <c r="X810" s="515"/>
      <c r="Y810" s="515"/>
    </row>
    <row r="811" spans="1:25" ht="15.75" customHeight="1">
      <c r="A811" s="697"/>
      <c r="B811" s="527"/>
      <c r="C811" s="527" t="s">
        <v>508</v>
      </c>
      <c r="D811" s="564"/>
      <c r="E811" s="530"/>
      <c r="F811" s="530"/>
      <c r="G811" s="530"/>
      <c r="H811" s="530"/>
      <c r="I811" s="513"/>
      <c r="J811" s="514"/>
      <c r="K811" s="514"/>
      <c r="L811" s="514"/>
      <c r="M811" s="514"/>
      <c r="N811" s="514"/>
      <c r="O811" s="514"/>
      <c r="P811" s="514"/>
      <c r="Q811" s="514"/>
      <c r="R811" s="515"/>
      <c r="S811" s="515"/>
      <c r="T811" s="515"/>
      <c r="U811" s="515"/>
      <c r="V811" s="515"/>
      <c r="W811" s="515"/>
      <c r="X811" s="515"/>
      <c r="Y811" s="515"/>
    </row>
    <row r="812" spans="1:25" ht="15.75" customHeight="1">
      <c r="A812" s="697"/>
      <c r="B812" s="527"/>
      <c r="C812" s="537" t="s">
        <v>358</v>
      </c>
      <c r="D812" s="564"/>
      <c r="E812" s="530"/>
      <c r="F812" s="530"/>
      <c r="G812" s="530"/>
      <c r="H812" s="530"/>
      <c r="I812" s="513"/>
      <c r="J812" s="514"/>
      <c r="K812" s="514"/>
      <c r="L812" s="514"/>
      <c r="M812" s="514"/>
      <c r="N812" s="514"/>
      <c r="O812" s="514"/>
      <c r="P812" s="514"/>
      <c r="Q812" s="514"/>
      <c r="R812" s="515"/>
      <c r="S812" s="515"/>
      <c r="T812" s="515"/>
      <c r="U812" s="515"/>
      <c r="V812" s="515"/>
      <c r="W812" s="515"/>
      <c r="X812" s="515"/>
      <c r="Y812" s="515"/>
    </row>
    <row r="813" spans="1:25" ht="15.75" customHeight="1">
      <c r="A813" s="718"/>
      <c r="B813" s="537"/>
      <c r="C813" s="554" t="s">
        <v>358</v>
      </c>
      <c r="D813" s="568"/>
      <c r="E813" s="535"/>
      <c r="F813" s="535"/>
      <c r="G813" s="535"/>
      <c r="H813" s="535"/>
      <c r="I813" s="513"/>
      <c r="J813" s="514"/>
      <c r="K813" s="514"/>
      <c r="L813" s="514"/>
      <c r="M813" s="514"/>
      <c r="N813" s="514"/>
      <c r="O813" s="514"/>
      <c r="P813" s="514"/>
      <c r="Q813" s="514"/>
      <c r="R813" s="515"/>
      <c r="S813" s="515"/>
      <c r="T813" s="515"/>
      <c r="U813" s="515"/>
      <c r="V813" s="515"/>
      <c r="W813" s="515"/>
      <c r="X813" s="515"/>
      <c r="Y813" s="515"/>
    </row>
    <row r="814" spans="1:25" ht="15.75" customHeight="1">
      <c r="A814" s="697" t="s">
        <v>509</v>
      </c>
      <c r="B814" s="700" t="s">
        <v>510</v>
      </c>
      <c r="C814" s="537" t="s">
        <v>26</v>
      </c>
      <c r="D814" s="570"/>
      <c r="E814" s="540">
        <v>9</v>
      </c>
      <c r="F814" s="539"/>
      <c r="G814" s="539"/>
      <c r="H814" s="539"/>
      <c r="I814" s="513"/>
      <c r="J814" s="514"/>
      <c r="K814" s="514"/>
      <c r="L814" s="514"/>
      <c r="M814" s="514"/>
      <c r="N814" s="514"/>
      <c r="O814" s="514"/>
      <c r="P814" s="514"/>
      <c r="Q814" s="514"/>
      <c r="R814" s="515"/>
      <c r="S814" s="515"/>
      <c r="T814" s="515"/>
      <c r="U814" s="515"/>
      <c r="V814" s="515"/>
      <c r="W814" s="515"/>
      <c r="X814" s="515"/>
      <c r="Y814" s="515"/>
    </row>
    <row r="815" spans="1:25" ht="15.75" customHeight="1">
      <c r="A815" s="697"/>
      <c r="B815" s="698"/>
      <c r="C815" s="527" t="s">
        <v>354</v>
      </c>
      <c r="D815" s="564"/>
      <c r="E815" s="530"/>
      <c r="F815" s="530"/>
      <c r="G815" s="530"/>
      <c r="H815" s="530"/>
      <c r="I815" s="513"/>
      <c r="J815" s="514"/>
      <c r="K815" s="514"/>
      <c r="L815" s="514"/>
      <c r="M815" s="514"/>
      <c r="N815" s="514"/>
      <c r="O815" s="514"/>
      <c r="P815" s="514"/>
      <c r="Q815" s="514"/>
      <c r="R815" s="515"/>
      <c r="S815" s="515"/>
      <c r="T815" s="515"/>
      <c r="U815" s="515"/>
      <c r="V815" s="515"/>
      <c r="W815" s="515"/>
      <c r="X815" s="515"/>
      <c r="Y815" s="515"/>
    </row>
    <row r="816" spans="1:25" ht="15.75" customHeight="1">
      <c r="A816" s="697"/>
      <c r="B816" s="698"/>
      <c r="C816" s="537" t="s">
        <v>38</v>
      </c>
      <c r="D816" s="564"/>
      <c r="E816" s="530"/>
      <c r="F816" s="530"/>
      <c r="G816" s="530"/>
      <c r="H816" s="530"/>
      <c r="I816" s="513"/>
      <c r="J816" s="514"/>
      <c r="K816" s="514"/>
      <c r="L816" s="514"/>
      <c r="M816" s="514"/>
      <c r="N816" s="514"/>
      <c r="O816" s="514"/>
      <c r="P816" s="514"/>
      <c r="Q816" s="514"/>
      <c r="R816" s="515"/>
      <c r="S816" s="515"/>
      <c r="T816" s="515"/>
      <c r="U816" s="515"/>
      <c r="V816" s="515"/>
      <c r="W816" s="515"/>
      <c r="X816" s="515"/>
      <c r="Y816" s="515"/>
    </row>
    <row r="817" spans="1:25" ht="26.75" customHeight="1">
      <c r="A817" s="697"/>
      <c r="B817" s="698"/>
      <c r="C817" s="527" t="s">
        <v>507</v>
      </c>
      <c r="D817" s="564"/>
      <c r="E817" s="530"/>
      <c r="F817" s="530"/>
      <c r="G817" s="530"/>
      <c r="H817" s="530"/>
      <c r="I817" s="513"/>
      <c r="J817" s="514"/>
      <c r="K817" s="514"/>
      <c r="L817" s="514"/>
      <c r="M817" s="514"/>
      <c r="N817" s="514"/>
      <c r="O817" s="514"/>
      <c r="P817" s="514"/>
      <c r="Q817" s="514"/>
      <c r="R817" s="515"/>
      <c r="S817" s="515"/>
      <c r="T817" s="515"/>
      <c r="U817" s="515"/>
      <c r="V817" s="515"/>
      <c r="W817" s="515"/>
      <c r="X817" s="515"/>
      <c r="Y817" s="515"/>
    </row>
    <row r="818" spans="1:25" ht="15.75" customHeight="1">
      <c r="A818" s="697"/>
      <c r="B818" s="698"/>
      <c r="C818" s="553" t="s">
        <v>47</v>
      </c>
      <c r="D818" s="564"/>
      <c r="E818" s="530"/>
      <c r="F818" s="530"/>
      <c r="G818" s="530"/>
      <c r="H818" s="530"/>
      <c r="I818" s="513"/>
      <c r="J818" s="514"/>
      <c r="K818" s="514"/>
      <c r="L818" s="514"/>
      <c r="M818" s="514"/>
      <c r="N818" s="514"/>
      <c r="O818" s="514"/>
      <c r="P818" s="514"/>
      <c r="Q818" s="514"/>
      <c r="R818" s="515"/>
      <c r="S818" s="515"/>
      <c r="T818" s="515"/>
      <c r="U818" s="515"/>
      <c r="V818" s="515"/>
      <c r="W818" s="515"/>
      <c r="X818" s="515"/>
      <c r="Y818" s="515"/>
    </row>
    <row r="819" spans="1:25" ht="15.75" customHeight="1">
      <c r="A819" s="697"/>
      <c r="B819" s="699"/>
      <c r="C819" s="554" t="s">
        <v>358</v>
      </c>
      <c r="D819" s="568"/>
      <c r="E819" s="535"/>
      <c r="F819" s="535"/>
      <c r="G819" s="535"/>
      <c r="H819" s="535"/>
      <c r="I819" s="513"/>
      <c r="J819" s="514"/>
      <c r="K819" s="514"/>
      <c r="L819" s="514"/>
      <c r="M819" s="514"/>
      <c r="N819" s="514"/>
      <c r="O819" s="514"/>
      <c r="P819" s="514"/>
      <c r="Q819" s="514"/>
      <c r="R819" s="515"/>
      <c r="S819" s="515"/>
      <c r="T819" s="515"/>
      <c r="U819" s="515"/>
      <c r="V819" s="515"/>
      <c r="W819" s="515"/>
      <c r="X819" s="515"/>
      <c r="Y819" s="515"/>
    </row>
    <row r="820" spans="1:25" ht="15.75" customHeight="1">
      <c r="A820" s="697"/>
      <c r="B820" s="698" t="s">
        <v>511</v>
      </c>
      <c r="C820" s="527" t="s">
        <v>512</v>
      </c>
      <c r="D820" s="564"/>
      <c r="E820" s="530"/>
      <c r="F820" s="530"/>
      <c r="G820" s="530"/>
      <c r="H820" s="530"/>
      <c r="I820" s="513"/>
      <c r="J820" s="514"/>
      <c r="K820" s="514"/>
      <c r="L820" s="514"/>
      <c r="M820" s="514"/>
      <c r="N820" s="514"/>
      <c r="O820" s="514"/>
      <c r="P820" s="514"/>
      <c r="Q820" s="514"/>
      <c r="R820" s="515"/>
      <c r="S820" s="515"/>
      <c r="T820" s="515"/>
      <c r="U820" s="515"/>
      <c r="V820" s="515"/>
      <c r="W820" s="515"/>
      <c r="X820" s="515"/>
      <c r="Y820" s="515"/>
    </row>
    <row r="821" spans="1:25" ht="15.75" customHeight="1">
      <c r="A821" s="526"/>
      <c r="B821" s="698"/>
      <c r="C821" s="537" t="s">
        <v>26</v>
      </c>
      <c r="D821" s="564"/>
      <c r="E821" s="530"/>
      <c r="F821" s="530"/>
      <c r="G821" s="530"/>
      <c r="H821" s="530"/>
      <c r="I821" s="513"/>
      <c r="J821" s="514"/>
      <c r="K821" s="514"/>
      <c r="L821" s="514"/>
      <c r="M821" s="514"/>
      <c r="N821" s="514"/>
      <c r="O821" s="514"/>
      <c r="P821" s="514"/>
      <c r="Q821" s="514"/>
      <c r="R821" s="515"/>
      <c r="S821" s="515"/>
      <c r="T821" s="515"/>
      <c r="U821" s="515"/>
      <c r="V821" s="515"/>
      <c r="W821" s="515"/>
      <c r="X821" s="515"/>
      <c r="Y821" s="515"/>
    </row>
    <row r="822" spans="1:25" ht="39.25" customHeight="1">
      <c r="A822" s="526"/>
      <c r="B822" s="698"/>
      <c r="C822" s="527" t="s">
        <v>513</v>
      </c>
      <c r="D822" s="564"/>
      <c r="E822" s="530"/>
      <c r="F822" s="530"/>
      <c r="G822" s="530"/>
      <c r="H822" s="530"/>
      <c r="I822" s="513"/>
      <c r="J822" s="514"/>
      <c r="K822" s="514"/>
      <c r="L822" s="514"/>
      <c r="M822" s="514"/>
      <c r="N822" s="514"/>
      <c r="O822" s="514"/>
      <c r="P822" s="514"/>
      <c r="Q822" s="514"/>
      <c r="R822" s="515"/>
      <c r="S822" s="515"/>
      <c r="T822" s="515"/>
      <c r="U822" s="515"/>
      <c r="V822" s="515"/>
      <c r="W822" s="515"/>
      <c r="X822" s="515"/>
      <c r="Y822" s="515"/>
    </row>
    <row r="823" spans="1:25" ht="15.75" customHeight="1">
      <c r="A823" s="526"/>
      <c r="B823" s="698"/>
      <c r="C823" s="537" t="s">
        <v>38</v>
      </c>
      <c r="D823" s="564"/>
      <c r="E823" s="530"/>
      <c r="F823" s="530"/>
      <c r="G823" s="530"/>
      <c r="H823" s="530"/>
      <c r="I823" s="513"/>
      <c r="J823" s="514"/>
      <c r="K823" s="514"/>
      <c r="L823" s="514"/>
      <c r="M823" s="514"/>
      <c r="N823" s="514"/>
      <c r="O823" s="514"/>
      <c r="P823" s="514"/>
      <c r="Q823" s="514"/>
      <c r="R823" s="515"/>
      <c r="S823" s="515"/>
      <c r="T823" s="515"/>
      <c r="U823" s="515"/>
      <c r="V823" s="515"/>
      <c r="W823" s="515"/>
      <c r="X823" s="515"/>
      <c r="Y823" s="515"/>
    </row>
    <row r="824" spans="1:25" ht="26.75" customHeight="1">
      <c r="A824" s="526"/>
      <c r="B824" s="698"/>
      <c r="C824" s="527" t="s">
        <v>514</v>
      </c>
      <c r="D824" s="564"/>
      <c r="E824" s="530"/>
      <c r="F824" s="530"/>
      <c r="G824" s="530"/>
      <c r="H824" s="530"/>
      <c r="I824" s="513"/>
      <c r="J824" s="514"/>
      <c r="K824" s="514"/>
      <c r="L824" s="514"/>
      <c r="M824" s="514"/>
      <c r="N824" s="514"/>
      <c r="O824" s="514"/>
      <c r="P824" s="514"/>
      <c r="Q824" s="514"/>
      <c r="R824" s="515"/>
      <c r="S824" s="515"/>
      <c r="T824" s="515"/>
      <c r="U824" s="515"/>
      <c r="V824" s="515"/>
      <c r="W824" s="515"/>
      <c r="X824" s="515"/>
      <c r="Y824" s="515"/>
    </row>
    <row r="825" spans="1:25" ht="26.75" customHeight="1">
      <c r="A825" s="526"/>
      <c r="B825" s="698"/>
      <c r="C825" s="527" t="s">
        <v>1611</v>
      </c>
      <c r="D825" s="564"/>
      <c r="E825" s="530"/>
      <c r="F825" s="530"/>
      <c r="G825" s="530"/>
      <c r="H825" s="530"/>
      <c r="I825" s="513"/>
      <c r="J825" s="514"/>
      <c r="K825" s="514"/>
      <c r="L825" s="514"/>
      <c r="M825" s="514"/>
      <c r="N825" s="514"/>
      <c r="O825" s="514"/>
      <c r="P825" s="514"/>
      <c r="Q825" s="514"/>
      <c r="R825" s="515"/>
      <c r="S825" s="515"/>
      <c r="T825" s="515"/>
      <c r="U825" s="515"/>
      <c r="V825" s="515"/>
      <c r="W825" s="515"/>
      <c r="X825" s="515"/>
      <c r="Y825" s="515"/>
    </row>
    <row r="826" spans="1:25">
      <c r="A826" s="526"/>
      <c r="B826" s="698"/>
      <c r="C826" s="492" t="s">
        <v>515</v>
      </c>
      <c r="D826" s="564"/>
      <c r="E826" s="530"/>
      <c r="F826" s="530"/>
      <c r="G826" s="530"/>
      <c r="H826" s="530"/>
      <c r="I826" s="513"/>
      <c r="J826" s="514"/>
      <c r="K826" s="514"/>
      <c r="L826" s="514"/>
      <c r="M826" s="514"/>
      <c r="N826" s="514"/>
      <c r="O826" s="514"/>
      <c r="P826" s="514"/>
      <c r="Q826" s="514"/>
      <c r="R826" s="515"/>
      <c r="S826" s="515"/>
      <c r="T826" s="515"/>
      <c r="U826" s="515"/>
      <c r="V826" s="515"/>
      <c r="W826" s="515"/>
      <c r="X826" s="515"/>
      <c r="Y826" s="515"/>
    </row>
    <row r="827" spans="1:25" ht="52">
      <c r="A827" s="526"/>
      <c r="B827" s="698"/>
      <c r="C827" s="527" t="s">
        <v>516</v>
      </c>
      <c r="D827" s="564"/>
      <c r="E827" s="530"/>
      <c r="F827" s="530"/>
      <c r="G827" s="530"/>
      <c r="H827" s="530"/>
      <c r="I827" s="513"/>
      <c r="J827" s="514"/>
      <c r="K827" s="514"/>
      <c r="L827" s="514"/>
      <c r="M827" s="514"/>
      <c r="N827" s="514"/>
      <c r="O827" s="514"/>
      <c r="P827" s="514"/>
      <c r="Q827" s="514"/>
      <c r="R827" s="515"/>
      <c r="S827" s="515"/>
      <c r="T827" s="515"/>
      <c r="U827" s="515"/>
      <c r="V827" s="515"/>
      <c r="W827" s="515"/>
      <c r="X827" s="515"/>
      <c r="Y827" s="515"/>
    </row>
    <row r="828" spans="1:25" ht="15.75" customHeight="1">
      <c r="A828" s="717" t="s">
        <v>517</v>
      </c>
      <c r="B828" s="717"/>
      <c r="C828" s="717"/>
      <c r="D828" s="717"/>
      <c r="E828" s="719"/>
      <c r="F828" s="719"/>
      <c r="G828" s="719"/>
      <c r="H828" s="719"/>
      <c r="I828" s="513"/>
      <c r="J828" s="514"/>
      <c r="K828" s="514"/>
      <c r="L828" s="514"/>
      <c r="M828" s="514"/>
      <c r="N828" s="514"/>
      <c r="O828" s="514"/>
      <c r="P828" s="514"/>
      <c r="Q828" s="514"/>
      <c r="R828" s="515"/>
      <c r="S828" s="515"/>
      <c r="T828" s="515"/>
      <c r="U828" s="515"/>
      <c r="V828" s="515"/>
      <c r="W828" s="515"/>
      <c r="X828" s="515"/>
      <c r="Y828" s="515"/>
    </row>
    <row r="829" spans="1:25" ht="15.75" customHeight="1">
      <c r="A829" s="697" t="s">
        <v>155</v>
      </c>
      <c r="B829" s="527" t="s">
        <v>161</v>
      </c>
      <c r="C829" s="537" t="s">
        <v>1570</v>
      </c>
      <c r="D829" s="564"/>
      <c r="E829" s="530"/>
      <c r="F829" s="530"/>
      <c r="G829" s="530"/>
      <c r="H829" s="530"/>
      <c r="I829" s="513"/>
      <c r="J829" s="514"/>
      <c r="K829" s="514"/>
      <c r="L829" s="514"/>
      <c r="M829" s="514"/>
      <c r="N829" s="514"/>
      <c r="O829" s="514"/>
      <c r="P829" s="514"/>
      <c r="Q829" s="514"/>
      <c r="R829" s="515"/>
      <c r="S829" s="515"/>
      <c r="T829" s="515"/>
      <c r="U829" s="515"/>
      <c r="V829" s="515"/>
      <c r="W829" s="515"/>
      <c r="X829" s="515"/>
      <c r="Y829" s="515"/>
    </row>
    <row r="830" spans="1:25" ht="15.75" customHeight="1">
      <c r="A830" s="697"/>
      <c r="B830" s="527"/>
      <c r="C830" s="527" t="s">
        <v>518</v>
      </c>
      <c r="D830" s="564"/>
      <c r="E830" s="530"/>
      <c r="F830" s="530"/>
      <c r="G830" s="530"/>
      <c r="H830" s="530"/>
      <c r="I830" s="513"/>
      <c r="J830" s="514"/>
      <c r="K830" s="514"/>
      <c r="L830" s="514"/>
      <c r="M830" s="514"/>
      <c r="N830" s="514"/>
      <c r="O830" s="514"/>
      <c r="P830" s="514"/>
      <c r="Q830" s="514"/>
      <c r="R830" s="515"/>
      <c r="S830" s="515"/>
      <c r="T830" s="515"/>
      <c r="U830" s="515"/>
      <c r="V830" s="515"/>
      <c r="W830" s="515"/>
      <c r="X830" s="515"/>
      <c r="Y830" s="515"/>
    </row>
    <row r="831" spans="1:25" ht="15.75" customHeight="1">
      <c r="A831" s="697"/>
      <c r="B831" s="527"/>
      <c r="C831" s="553" t="s">
        <v>47</v>
      </c>
      <c r="D831" s="564"/>
      <c r="E831" s="530"/>
      <c r="F831" s="530"/>
      <c r="G831" s="530"/>
      <c r="H831" s="530"/>
      <c r="I831" s="513"/>
      <c r="J831" s="514"/>
      <c r="K831" s="514"/>
      <c r="L831" s="514"/>
      <c r="M831" s="514"/>
      <c r="N831" s="514"/>
      <c r="O831" s="514"/>
      <c r="P831" s="514"/>
      <c r="Q831" s="514"/>
      <c r="R831" s="515"/>
      <c r="S831" s="515"/>
      <c r="T831" s="515"/>
      <c r="U831" s="515"/>
      <c r="V831" s="515"/>
      <c r="W831" s="515"/>
      <c r="X831" s="515"/>
      <c r="Y831" s="515"/>
    </row>
    <row r="832" spans="1:25" ht="15.75" customHeight="1">
      <c r="A832" s="697"/>
      <c r="B832" s="527"/>
      <c r="C832" s="495" t="s">
        <v>73</v>
      </c>
      <c r="D832" s="564"/>
      <c r="E832" s="530"/>
      <c r="F832" s="530"/>
      <c r="G832" s="530"/>
      <c r="H832" s="530"/>
      <c r="I832" s="513"/>
      <c r="J832" s="514"/>
      <c r="K832" s="514"/>
      <c r="L832" s="514"/>
      <c r="M832" s="514"/>
      <c r="N832" s="514"/>
      <c r="O832" s="514"/>
      <c r="P832" s="514"/>
      <c r="Q832" s="514"/>
      <c r="R832" s="515"/>
      <c r="S832" s="515"/>
      <c r="T832" s="515"/>
      <c r="U832" s="515"/>
      <c r="V832" s="515"/>
      <c r="W832" s="515"/>
      <c r="X832" s="515"/>
      <c r="Y832" s="515"/>
    </row>
    <row r="833" spans="1:25" ht="15.75" customHeight="1">
      <c r="A833" s="697"/>
      <c r="B833" s="527"/>
      <c r="C833" s="527" t="s">
        <v>519</v>
      </c>
      <c r="D833" s="564"/>
      <c r="E833" s="530"/>
      <c r="F833" s="530"/>
      <c r="G833" s="530"/>
      <c r="H833" s="530"/>
      <c r="I833" s="513"/>
      <c r="J833" s="514"/>
      <c r="K833" s="514"/>
      <c r="L833" s="514"/>
      <c r="M833" s="514"/>
      <c r="N833" s="514"/>
      <c r="O833" s="514"/>
      <c r="P833" s="514"/>
      <c r="Q833" s="514"/>
      <c r="R833" s="515"/>
      <c r="S833" s="515"/>
      <c r="T833" s="515"/>
      <c r="U833" s="515"/>
      <c r="V833" s="515"/>
      <c r="W833" s="515"/>
      <c r="X833" s="515"/>
      <c r="Y833" s="515"/>
    </row>
    <row r="834" spans="1:25" ht="15.75" customHeight="1">
      <c r="A834" s="718"/>
      <c r="B834" s="533"/>
      <c r="C834" s="494" t="s">
        <v>135</v>
      </c>
      <c r="D834" s="568"/>
      <c r="E834" s="535"/>
      <c r="F834" s="535"/>
      <c r="G834" s="535"/>
      <c r="H834" s="535"/>
      <c r="I834" s="513"/>
      <c r="J834" s="514"/>
      <c r="K834" s="514"/>
      <c r="L834" s="514"/>
      <c r="M834" s="514"/>
      <c r="N834" s="514"/>
      <c r="O834" s="514"/>
      <c r="P834" s="514"/>
      <c r="Q834" s="514"/>
      <c r="R834" s="515"/>
      <c r="S834" s="515"/>
      <c r="T834" s="515"/>
      <c r="U834" s="515"/>
      <c r="V834" s="515"/>
      <c r="W834" s="515"/>
      <c r="X834" s="515"/>
      <c r="Y834" s="515"/>
    </row>
    <row r="835" spans="1:25" ht="15.75" customHeight="1">
      <c r="A835" s="697" t="s">
        <v>520</v>
      </c>
      <c r="B835" s="527" t="s">
        <v>521</v>
      </c>
      <c r="C835" s="537" t="s">
        <v>1570</v>
      </c>
      <c r="D835" s="564"/>
      <c r="E835" s="530" t="s">
        <v>75</v>
      </c>
      <c r="F835" s="530" t="s">
        <v>522</v>
      </c>
      <c r="G835" s="530"/>
      <c r="H835" s="530"/>
      <c r="I835" s="513"/>
      <c r="J835" s="514"/>
      <c r="K835" s="514"/>
      <c r="L835" s="514"/>
      <c r="M835" s="514"/>
      <c r="N835" s="514"/>
      <c r="O835" s="514"/>
      <c r="P835" s="514"/>
      <c r="Q835" s="514"/>
      <c r="R835" s="515"/>
      <c r="S835" s="515"/>
      <c r="T835" s="515"/>
      <c r="U835" s="515"/>
      <c r="V835" s="515"/>
      <c r="W835" s="515"/>
      <c r="X835" s="515"/>
      <c r="Y835" s="515"/>
    </row>
    <row r="836" spans="1:25" ht="15.75" customHeight="1">
      <c r="A836" s="697"/>
      <c r="B836" s="527"/>
      <c r="C836" s="527" t="s">
        <v>518</v>
      </c>
      <c r="D836" s="564"/>
      <c r="E836" s="530"/>
      <c r="F836" s="530"/>
      <c r="G836" s="530"/>
      <c r="H836" s="530"/>
      <c r="I836" s="513"/>
      <c r="J836" s="514"/>
      <c r="K836" s="514"/>
      <c r="L836" s="514"/>
      <c r="M836" s="514"/>
      <c r="N836" s="514"/>
      <c r="O836" s="514"/>
      <c r="P836" s="514"/>
      <c r="Q836" s="514"/>
      <c r="R836" s="515"/>
      <c r="S836" s="515"/>
      <c r="T836" s="515"/>
      <c r="U836" s="515"/>
      <c r="V836" s="515"/>
      <c r="W836" s="515"/>
      <c r="X836" s="515"/>
      <c r="Y836" s="515"/>
    </row>
    <row r="837" spans="1:25" ht="15.75" customHeight="1">
      <c r="A837" s="697"/>
      <c r="B837" s="527"/>
      <c r="C837" s="528" t="s">
        <v>523</v>
      </c>
      <c r="D837" s="564"/>
      <c r="E837" s="530"/>
      <c r="F837" s="530"/>
      <c r="G837" s="530"/>
      <c r="H837" s="530"/>
      <c r="I837" s="513"/>
      <c r="J837" s="514"/>
      <c r="K837" s="514"/>
      <c r="L837" s="514"/>
      <c r="M837" s="514"/>
      <c r="N837" s="514"/>
      <c r="O837" s="514"/>
      <c r="P837" s="514"/>
      <c r="Q837" s="514"/>
      <c r="R837" s="515"/>
      <c r="S837" s="515"/>
      <c r="T837" s="515"/>
      <c r="U837" s="515"/>
      <c r="V837" s="515"/>
      <c r="W837" s="515"/>
      <c r="X837" s="515"/>
      <c r="Y837" s="515"/>
    </row>
    <row r="838" spans="1:25" ht="15.75" customHeight="1">
      <c r="A838" s="717" t="s">
        <v>524</v>
      </c>
      <c r="B838" s="717"/>
      <c r="C838" s="717"/>
      <c r="D838" s="717"/>
      <c r="E838" s="719"/>
      <c r="F838" s="719"/>
      <c r="G838" s="719"/>
      <c r="H838" s="719"/>
      <c r="I838" s="513"/>
      <c r="J838" s="514"/>
      <c r="K838" s="514"/>
      <c r="L838" s="514"/>
      <c r="M838" s="514"/>
      <c r="N838" s="514"/>
      <c r="O838" s="514"/>
      <c r="P838" s="514"/>
      <c r="Q838" s="514"/>
      <c r="R838" s="515"/>
      <c r="S838" s="515"/>
      <c r="T838" s="515"/>
      <c r="U838" s="515"/>
      <c r="V838" s="515"/>
      <c r="W838" s="515"/>
      <c r="X838" s="515"/>
      <c r="Y838" s="515"/>
    </row>
    <row r="839" spans="1:25" ht="26">
      <c r="A839" s="526" t="s">
        <v>525</v>
      </c>
      <c r="B839" s="513"/>
      <c r="C839" s="527" t="s">
        <v>1568</v>
      </c>
      <c r="D839" s="564"/>
      <c r="E839" s="530"/>
      <c r="F839" s="530"/>
      <c r="G839" s="530"/>
      <c r="H839" s="530"/>
      <c r="I839" s="513"/>
      <c r="J839" s="514"/>
      <c r="K839" s="514"/>
      <c r="L839" s="514"/>
      <c r="M839" s="514"/>
      <c r="N839" s="514"/>
      <c r="O839" s="514"/>
      <c r="P839" s="514"/>
      <c r="Q839" s="514"/>
      <c r="R839" s="515"/>
      <c r="S839" s="515"/>
      <c r="T839" s="515"/>
      <c r="U839" s="515"/>
      <c r="V839" s="515"/>
      <c r="W839" s="515"/>
      <c r="X839" s="515"/>
      <c r="Y839" s="515"/>
    </row>
    <row r="840" spans="1:25" ht="15.75" customHeight="1">
      <c r="A840" s="717" t="s">
        <v>526</v>
      </c>
      <c r="B840" s="717"/>
      <c r="C840" s="717"/>
      <c r="D840" s="717"/>
      <c r="E840" s="719"/>
      <c r="F840" s="719"/>
      <c r="G840" s="719"/>
      <c r="H840" s="719"/>
      <c r="I840" s="513"/>
      <c r="J840" s="514"/>
      <c r="K840" s="514"/>
      <c r="L840" s="514"/>
      <c r="M840" s="514"/>
      <c r="N840" s="514"/>
      <c r="O840" s="514"/>
      <c r="P840" s="514"/>
      <c r="Q840" s="514"/>
      <c r="R840" s="515"/>
      <c r="S840" s="515"/>
      <c r="T840" s="515"/>
      <c r="U840" s="515"/>
      <c r="V840" s="515"/>
      <c r="W840" s="515"/>
      <c r="X840" s="515"/>
      <c r="Y840" s="515"/>
    </row>
    <row r="841" spans="1:25" ht="26.75" customHeight="1">
      <c r="A841" s="571" t="s">
        <v>527</v>
      </c>
      <c r="B841" s="513"/>
      <c r="C841" s="527" t="s">
        <v>528</v>
      </c>
      <c r="D841" s="564"/>
      <c r="E841" s="530"/>
      <c r="F841" s="530"/>
      <c r="G841" s="530"/>
      <c r="H841" s="530"/>
      <c r="I841" s="513"/>
      <c r="J841" s="514"/>
      <c r="K841" s="514"/>
      <c r="L841" s="514"/>
      <c r="M841" s="514"/>
      <c r="N841" s="514"/>
      <c r="O841" s="514"/>
      <c r="P841" s="514"/>
      <c r="Q841" s="514"/>
      <c r="R841" s="515"/>
      <c r="S841" s="515"/>
      <c r="T841" s="515"/>
      <c r="U841" s="515"/>
      <c r="V841" s="515"/>
      <c r="W841" s="515"/>
      <c r="X841" s="515"/>
      <c r="Y841" s="515"/>
    </row>
    <row r="842" spans="1:25" ht="15.75" customHeight="1">
      <c r="A842" s="717" t="s">
        <v>529</v>
      </c>
      <c r="B842" s="717"/>
      <c r="C842" s="717"/>
      <c r="D842" s="717"/>
      <c r="E842" s="719"/>
      <c r="F842" s="719"/>
      <c r="G842" s="719"/>
      <c r="H842" s="719"/>
      <c r="I842" s="513"/>
      <c r="J842" s="514"/>
      <c r="K842" s="514"/>
      <c r="L842" s="514"/>
      <c r="M842" s="514"/>
      <c r="N842" s="514"/>
      <c r="O842" s="514"/>
      <c r="P842" s="514"/>
      <c r="Q842" s="514"/>
      <c r="R842" s="515"/>
      <c r="S842" s="515"/>
      <c r="T842" s="515"/>
      <c r="U842" s="515"/>
      <c r="V842" s="515"/>
      <c r="W842" s="515"/>
      <c r="X842" s="515"/>
      <c r="Y842" s="515"/>
    </row>
    <row r="843" spans="1:25" ht="26">
      <c r="A843" s="571" t="s">
        <v>530</v>
      </c>
      <c r="B843" s="513"/>
      <c r="C843" s="527" t="s">
        <v>531</v>
      </c>
      <c r="D843" s="564"/>
      <c r="E843" s="530"/>
      <c r="F843" s="530"/>
      <c r="G843" s="530"/>
      <c r="H843" s="530"/>
      <c r="I843" s="513"/>
      <c r="J843" s="514"/>
      <c r="K843" s="514"/>
      <c r="L843" s="514"/>
      <c r="M843" s="514"/>
      <c r="N843" s="514"/>
      <c r="O843" s="514"/>
      <c r="P843" s="514"/>
      <c r="Q843" s="514"/>
      <c r="R843" s="515"/>
      <c r="S843" s="515"/>
      <c r="T843" s="515"/>
      <c r="U843" s="515"/>
      <c r="V843" s="515"/>
      <c r="W843" s="515"/>
      <c r="X843" s="515"/>
      <c r="Y843" s="515"/>
    </row>
    <row r="844" spans="1:25" ht="15" hidden="1" customHeight="1">
      <c r="A844" s="724" t="s">
        <v>532</v>
      </c>
      <c r="B844" s="725"/>
      <c r="C844" s="725"/>
      <c r="D844" s="726"/>
      <c r="E844" s="584"/>
      <c r="F844" s="584"/>
      <c r="G844" s="584"/>
      <c r="H844" s="584"/>
      <c r="I844" s="585"/>
      <c r="J844" s="514"/>
      <c r="K844" s="514"/>
      <c r="L844" s="514"/>
      <c r="M844" s="514"/>
      <c r="N844" s="514"/>
      <c r="O844" s="514"/>
      <c r="P844" s="514"/>
      <c r="Q844" s="514"/>
      <c r="R844" s="515"/>
      <c r="S844" s="515"/>
      <c r="T844" s="515"/>
      <c r="U844" s="515"/>
      <c r="V844" s="515"/>
      <c r="W844" s="515"/>
      <c r="X844" s="515"/>
      <c r="Y844" s="515"/>
    </row>
    <row r="845" spans="1:25" ht="15" hidden="1" customHeight="1">
      <c r="A845" s="727"/>
      <c r="B845" s="728"/>
      <c r="C845" s="728"/>
      <c r="D845" s="729"/>
      <c r="E845" s="586"/>
      <c r="F845" s="586"/>
      <c r="G845" s="586"/>
      <c r="H845" s="586"/>
      <c r="I845" s="585"/>
      <c r="J845" s="514"/>
      <c r="K845" s="514"/>
      <c r="L845" s="514"/>
      <c r="M845" s="514"/>
      <c r="N845" s="514"/>
      <c r="O845" s="514"/>
      <c r="P845" s="514"/>
      <c r="Q845" s="514"/>
      <c r="R845" s="515"/>
      <c r="S845" s="515"/>
      <c r="T845" s="515"/>
      <c r="U845" s="515"/>
      <c r="V845" s="515"/>
      <c r="W845" s="515"/>
      <c r="X845" s="515"/>
      <c r="Y845" s="515"/>
    </row>
    <row r="846" spans="1:25" ht="15" hidden="1" customHeight="1">
      <c r="A846" s="733" t="s">
        <v>533</v>
      </c>
      <c r="B846" s="734"/>
      <c r="C846" s="735"/>
      <c r="D846" s="587"/>
      <c r="E846" s="588"/>
      <c r="F846" s="588"/>
      <c r="G846" s="589"/>
      <c r="H846" s="589"/>
      <c r="I846" s="585"/>
      <c r="J846" s="514"/>
      <c r="K846" s="514"/>
      <c r="L846" s="514"/>
      <c r="M846" s="514"/>
      <c r="N846" s="514"/>
      <c r="O846" s="514"/>
      <c r="P846" s="514"/>
      <c r="Q846" s="514"/>
      <c r="R846" s="515"/>
      <c r="S846" s="515"/>
      <c r="T846" s="515"/>
      <c r="U846" s="515"/>
      <c r="V846" s="515"/>
      <c r="W846" s="515"/>
      <c r="X846" s="515"/>
      <c r="Y846" s="515"/>
    </row>
    <row r="847" spans="1:25" ht="15" hidden="1" customHeight="1">
      <c r="A847" s="730" t="s">
        <v>534</v>
      </c>
      <c r="B847" s="731"/>
      <c r="C847" s="731"/>
      <c r="D847" s="732"/>
      <c r="E847" s="590"/>
      <c r="F847" s="590"/>
      <c r="G847" s="590"/>
      <c r="H847" s="590"/>
      <c r="I847" s="585"/>
      <c r="J847" s="514"/>
      <c r="K847" s="514"/>
      <c r="L847" s="514"/>
      <c r="M847" s="514"/>
      <c r="N847" s="514"/>
      <c r="O847" s="514"/>
      <c r="P847" s="514"/>
      <c r="Q847" s="514"/>
      <c r="R847" s="515"/>
      <c r="S847" s="515"/>
      <c r="T847" s="515"/>
      <c r="U847" s="515"/>
      <c r="V847" s="515"/>
      <c r="W847" s="515"/>
      <c r="X847" s="515"/>
      <c r="Y847" s="515"/>
    </row>
    <row r="848" spans="1:25" ht="15" hidden="1" customHeight="1">
      <c r="A848" s="722" t="s">
        <v>535</v>
      </c>
      <c r="B848" s="723"/>
      <c r="C848" s="723"/>
      <c r="D848" s="591"/>
      <c r="E848" s="592"/>
      <c r="F848" s="592"/>
      <c r="G848" s="593"/>
      <c r="H848" s="593"/>
      <c r="I848" s="585"/>
      <c r="J848" s="514"/>
      <c r="K848" s="514"/>
      <c r="L848" s="514"/>
      <c r="M848" s="514"/>
      <c r="N848" s="514"/>
      <c r="O848" s="514"/>
      <c r="P848" s="514"/>
      <c r="Q848" s="514"/>
      <c r="R848" s="515"/>
      <c r="S848" s="515"/>
      <c r="T848" s="515"/>
      <c r="U848" s="515"/>
      <c r="V848" s="515"/>
      <c r="W848" s="515"/>
      <c r="X848" s="515"/>
      <c r="Y848" s="515"/>
    </row>
    <row r="849" spans="1:25" hidden="1">
      <c r="A849" s="722" t="s">
        <v>535</v>
      </c>
      <c r="B849" s="723"/>
      <c r="C849" s="723"/>
      <c r="D849" s="591"/>
      <c r="E849" s="592"/>
      <c r="F849" s="592"/>
      <c r="G849" s="593"/>
      <c r="H849" s="593"/>
      <c r="I849" s="585"/>
      <c r="J849" s="514"/>
      <c r="K849" s="514"/>
      <c r="L849" s="514"/>
      <c r="M849" s="514"/>
      <c r="N849" s="514"/>
      <c r="O849" s="514"/>
      <c r="P849" s="514"/>
      <c r="Q849" s="514"/>
      <c r="R849" s="515"/>
      <c r="S849" s="515"/>
      <c r="T849" s="515"/>
      <c r="U849" s="515"/>
      <c r="V849" s="515"/>
      <c r="W849" s="515"/>
      <c r="X849" s="515"/>
      <c r="Y849" s="515"/>
    </row>
    <row r="850" spans="1:25" ht="15" customHeight="1">
      <c r="A850" s="594"/>
      <c r="B850" s="594"/>
      <c r="C850" s="594"/>
      <c r="D850" s="594"/>
      <c r="E850" s="595"/>
      <c r="F850" s="595"/>
      <c r="G850" s="595"/>
      <c r="H850" s="595"/>
      <c r="I850" s="513"/>
      <c r="J850" s="513"/>
      <c r="K850" s="513"/>
      <c r="L850" s="513"/>
      <c r="M850" s="513"/>
      <c r="N850" s="513"/>
      <c r="O850" s="513"/>
      <c r="P850" s="513"/>
      <c r="Q850" s="513"/>
      <c r="R850" s="515"/>
      <c r="S850" s="515"/>
      <c r="T850" s="515"/>
      <c r="U850" s="515"/>
      <c r="V850" s="515"/>
      <c r="W850" s="515"/>
      <c r="X850" s="515"/>
      <c r="Y850" s="515"/>
    </row>
  </sheetData>
  <sheetProtection algorithmName="SHA-512" hashValue="YcVvibpagMZzyUMLV1u6/XbtZPgaIb6oSc9VperGOEerpOZQo53gHQ+GECPxboV+SzIU0ai1o3uZDYs4ofrlLQ==" saltValue="ae2dpXqeiVZ9FNFU8E57vw==" spinCount="100000" sheet="1" objects="1" scenarios="1"/>
  <mergeCells count="233">
    <mergeCell ref="G444:G445"/>
    <mergeCell ref="A11:B11"/>
    <mergeCell ref="A13:B13"/>
    <mergeCell ref="A15:B15"/>
    <mergeCell ref="A17:B17"/>
    <mergeCell ref="E828:H828"/>
    <mergeCell ref="A828:D828"/>
    <mergeCell ref="A829:A834"/>
    <mergeCell ref="A835:A837"/>
    <mergeCell ref="A729:D729"/>
    <mergeCell ref="E729:H729"/>
    <mergeCell ref="A730:A746"/>
    <mergeCell ref="B747:B770"/>
    <mergeCell ref="A747:A771"/>
    <mergeCell ref="B771:B776"/>
    <mergeCell ref="A777:A782"/>
    <mergeCell ref="B777:B782"/>
    <mergeCell ref="B783:B791"/>
    <mergeCell ref="A783:A791"/>
    <mergeCell ref="A686:A693"/>
    <mergeCell ref="A694:A698"/>
    <mergeCell ref="B694:B698"/>
    <mergeCell ref="A699:D699"/>
    <mergeCell ref="A700:A706"/>
    <mergeCell ref="B792:B799"/>
    <mergeCell ref="A792:A799"/>
    <mergeCell ref="A800:A803"/>
    <mergeCell ref="E804:H804"/>
    <mergeCell ref="A804:D804"/>
    <mergeCell ref="A805:A813"/>
    <mergeCell ref="B814:B819"/>
    <mergeCell ref="A814:A820"/>
    <mergeCell ref="B820:B827"/>
    <mergeCell ref="A849:C849"/>
    <mergeCell ref="A838:D838"/>
    <mergeCell ref="E838:H838"/>
    <mergeCell ref="E840:H840"/>
    <mergeCell ref="E842:H842"/>
    <mergeCell ref="A840:D840"/>
    <mergeCell ref="A842:D842"/>
    <mergeCell ref="A844:D845"/>
    <mergeCell ref="A847:D847"/>
    <mergeCell ref="A846:C846"/>
    <mergeCell ref="A848:C848"/>
    <mergeCell ref="B707:B713"/>
    <mergeCell ref="A707:A713"/>
    <mergeCell ref="A714:D714"/>
    <mergeCell ref="B715:B727"/>
    <mergeCell ref="A715:A727"/>
    <mergeCell ref="E665:H665"/>
    <mergeCell ref="E675:H675"/>
    <mergeCell ref="B670:B674"/>
    <mergeCell ref="A670:A674"/>
    <mergeCell ref="A675:D675"/>
    <mergeCell ref="A676:A678"/>
    <mergeCell ref="B679:B684"/>
    <mergeCell ref="A679:A684"/>
    <mergeCell ref="A685:D685"/>
    <mergeCell ref="A635:A640"/>
    <mergeCell ref="A641:A647"/>
    <mergeCell ref="B647:B651"/>
    <mergeCell ref="A652:D652"/>
    <mergeCell ref="A653:A660"/>
    <mergeCell ref="A661:A664"/>
    <mergeCell ref="B661:B664"/>
    <mergeCell ref="A665:D665"/>
    <mergeCell ref="A666:A669"/>
    <mergeCell ref="A615:A618"/>
    <mergeCell ref="A619:D619"/>
    <mergeCell ref="A620:A624"/>
    <mergeCell ref="H620:H624"/>
    <mergeCell ref="H628:H633"/>
    <mergeCell ref="H626:H627"/>
    <mergeCell ref="A625:A628"/>
    <mergeCell ref="A634:D634"/>
    <mergeCell ref="E634:H634"/>
    <mergeCell ref="A569:A574"/>
    <mergeCell ref="A575:A577"/>
    <mergeCell ref="A578:D578"/>
    <mergeCell ref="A579:A586"/>
    <mergeCell ref="A589:D589"/>
    <mergeCell ref="E589:H589"/>
    <mergeCell ref="A590:A596"/>
    <mergeCell ref="A597:A610"/>
    <mergeCell ref="B605:B609"/>
    <mergeCell ref="B529:B534"/>
    <mergeCell ref="A529:A534"/>
    <mergeCell ref="B536:B544"/>
    <mergeCell ref="A535:A550"/>
    <mergeCell ref="B553:B555"/>
    <mergeCell ref="A556:D556"/>
    <mergeCell ref="A557:A565"/>
    <mergeCell ref="E568:H568"/>
    <mergeCell ref="A566:A567"/>
    <mergeCell ref="A568:D568"/>
    <mergeCell ref="E491:H491"/>
    <mergeCell ref="B499:B506"/>
    <mergeCell ref="A498:A508"/>
    <mergeCell ref="A511:D511"/>
    <mergeCell ref="A512:A517"/>
    <mergeCell ref="A518:A527"/>
    <mergeCell ref="B522:B525"/>
    <mergeCell ref="A528:D528"/>
    <mergeCell ref="E528:H528"/>
    <mergeCell ref="A444:A454"/>
    <mergeCell ref="B444:B454"/>
    <mergeCell ref="B455:B463"/>
    <mergeCell ref="B464:B471"/>
    <mergeCell ref="A455:A486"/>
    <mergeCell ref="B472:B478"/>
    <mergeCell ref="A491:D491"/>
    <mergeCell ref="A492:A497"/>
    <mergeCell ref="B492:B497"/>
    <mergeCell ref="B412:B418"/>
    <mergeCell ref="A412:A423"/>
    <mergeCell ref="B425:B428"/>
    <mergeCell ref="A425:A428"/>
    <mergeCell ref="A429:D429"/>
    <mergeCell ref="A430:A435"/>
    <mergeCell ref="E429:H429"/>
    <mergeCell ref="A436:A442"/>
    <mergeCell ref="A443:D443"/>
    <mergeCell ref="E443:H443"/>
    <mergeCell ref="A361:A369"/>
    <mergeCell ref="B361:B369"/>
    <mergeCell ref="B370:B378"/>
    <mergeCell ref="A370:A395"/>
    <mergeCell ref="B379:B387"/>
    <mergeCell ref="B388:B394"/>
    <mergeCell ref="B395:B405"/>
    <mergeCell ref="A406:D406"/>
    <mergeCell ref="A407:A411"/>
    <mergeCell ref="B407:B411"/>
    <mergeCell ref="B341:B345"/>
    <mergeCell ref="A341:A351"/>
    <mergeCell ref="B346:B350"/>
    <mergeCell ref="E354:H354"/>
    <mergeCell ref="B351:B353"/>
    <mergeCell ref="A354:D354"/>
    <mergeCell ref="A355:A358"/>
    <mergeCell ref="B355:B358"/>
    <mergeCell ref="A360:D360"/>
    <mergeCell ref="E360:H360"/>
    <mergeCell ref="A307:D307"/>
    <mergeCell ref="E307:H307"/>
    <mergeCell ref="B308:B324"/>
    <mergeCell ref="A308:A324"/>
    <mergeCell ref="A325:A334"/>
    <mergeCell ref="B325:B334"/>
    <mergeCell ref="A335:D335"/>
    <mergeCell ref="A336:A340"/>
    <mergeCell ref="B336:B340"/>
    <mergeCell ref="E335:H335"/>
    <mergeCell ref="B269:B278"/>
    <mergeCell ref="A269:A278"/>
    <mergeCell ref="B279:B281"/>
    <mergeCell ref="A279:A282"/>
    <mergeCell ref="A283:D283"/>
    <mergeCell ref="B284:B293"/>
    <mergeCell ref="A284:A293"/>
    <mergeCell ref="E283:H283"/>
    <mergeCell ref="B294:B300"/>
    <mergeCell ref="A294:A301"/>
    <mergeCell ref="B249:B255"/>
    <mergeCell ref="A249:A255"/>
    <mergeCell ref="H249:H255"/>
    <mergeCell ref="B256:B263"/>
    <mergeCell ref="B264:B265"/>
    <mergeCell ref="B266:B267"/>
    <mergeCell ref="H256:H263"/>
    <mergeCell ref="E268:H268"/>
    <mergeCell ref="A268:D268"/>
    <mergeCell ref="H215:H222"/>
    <mergeCell ref="B215:B222"/>
    <mergeCell ref="B223:B230"/>
    <mergeCell ref="A231:D231"/>
    <mergeCell ref="A232:A234"/>
    <mergeCell ref="A236:D236"/>
    <mergeCell ref="A237:A248"/>
    <mergeCell ref="B237:B248"/>
    <mergeCell ref="E236:H236"/>
    <mergeCell ref="B145:B152"/>
    <mergeCell ref="H153:H161"/>
    <mergeCell ref="B153:B161"/>
    <mergeCell ref="B162:B170"/>
    <mergeCell ref="B171:B176"/>
    <mergeCell ref="B177:B189"/>
    <mergeCell ref="H190:H204"/>
    <mergeCell ref="B190:B204"/>
    <mergeCell ref="B206:B214"/>
    <mergeCell ref="H206:H214"/>
    <mergeCell ref="B75:B78"/>
    <mergeCell ref="B79:B86"/>
    <mergeCell ref="H79:H86"/>
    <mergeCell ref="B87:B96"/>
    <mergeCell ref="B97:B108"/>
    <mergeCell ref="B117:B124"/>
    <mergeCell ref="B125:B128"/>
    <mergeCell ref="B129:B133"/>
    <mergeCell ref="B138:B139"/>
    <mergeCell ref="H138:H139"/>
    <mergeCell ref="H134:H137"/>
    <mergeCell ref="H41:H50"/>
    <mergeCell ref="B41:B50"/>
    <mergeCell ref="H51:H61"/>
    <mergeCell ref="B51:B61"/>
    <mergeCell ref="B62:B63"/>
    <mergeCell ref="B64:B69"/>
    <mergeCell ref="H62:H63"/>
    <mergeCell ref="H70:H74"/>
    <mergeCell ref="B70:B74"/>
    <mergeCell ref="A14:C14"/>
    <mergeCell ref="A12:C12"/>
    <mergeCell ref="A16:C16"/>
    <mergeCell ref="A18:C18"/>
    <mergeCell ref="A19:C19"/>
    <mergeCell ref="A22:A24"/>
    <mergeCell ref="B22:B24"/>
    <mergeCell ref="B25:B26"/>
    <mergeCell ref="H29:H32"/>
    <mergeCell ref="B27:B28"/>
    <mergeCell ref="A2:B2"/>
    <mergeCell ref="A1:D1"/>
    <mergeCell ref="A3:B3"/>
    <mergeCell ref="A4:B4"/>
    <mergeCell ref="A10:C10"/>
    <mergeCell ref="A8:C8"/>
    <mergeCell ref="A6:H6"/>
    <mergeCell ref="A5:H5"/>
    <mergeCell ref="C4:H4"/>
    <mergeCell ref="C3:H3"/>
    <mergeCell ref="C2:H2"/>
    <mergeCell ref="A9:B9"/>
  </mergeCells>
  <hyperlinks>
    <hyperlink ref="C24" r:id="rId1" xr:uid="{B0C8383C-6698-844A-A94E-33F0F14BEB83}"/>
    <hyperlink ref="C69" r:id="rId2" xr:uid="{3E2EA36A-651E-F14F-A9FE-B455C8C2D282}"/>
    <hyperlink ref="C74" r:id="rId3" xr:uid="{CA767382-52AD-7545-9D53-13A430A1A736}"/>
    <hyperlink ref="C96" r:id="rId4" xr:uid="{A152E98D-A692-CD43-A393-DCBF7374EAB8}"/>
    <hyperlink ref="C108" r:id="rId5" xr:uid="{40FF298C-4D09-9A4E-B855-83C84BF6FCD1}"/>
    <hyperlink ref="C116" r:id="rId6" xr:uid="{BA79EEC1-C6D0-664E-B34F-F4706DFFA73C}"/>
    <hyperlink ref="C132" r:id="rId7" xr:uid="{2EACE0CD-D299-6D4C-8FDF-4FE097E47CFF}"/>
    <hyperlink ref="C133" r:id="rId8" xr:uid="{4CA81FFE-3217-A345-9616-6A52DE56A8C4}"/>
    <hyperlink ref="C152" r:id="rId9" xr:uid="{CA7B85CD-06AE-E949-9CDF-8615365C7307}"/>
    <hyperlink ref="C160" r:id="rId10" xr:uid="{56E47D68-DF02-0A41-B464-11D9441DF9D5}"/>
    <hyperlink ref="C161" r:id="rId11" xr:uid="{D722B99C-CF40-DE4C-916F-C15D84580D99}"/>
    <hyperlink ref="C169" r:id="rId12" xr:uid="{48F1A459-D124-5147-BDB6-8E5967E2E33B}"/>
    <hyperlink ref="C170" r:id="rId13" xr:uid="{7C63C69D-8815-4F40-822F-C95397AB2BAD}"/>
    <hyperlink ref="C182" r:id="rId14" xr:uid="{E99FCEEE-5A66-E544-8E31-F821D6B7C444}"/>
    <hyperlink ref="C184" r:id="rId15" xr:uid="{C38F26D8-8F1B-D942-84C8-04C8B04DA536}"/>
    <hyperlink ref="C186" r:id="rId16" xr:uid="{D5C9FD6C-209B-F146-B3CA-D561588AD46C}"/>
    <hyperlink ref="C188" r:id="rId17" xr:uid="{37D2FB92-56D7-034E-9DC3-404E1E0D8A75}"/>
    <hyperlink ref="C197" r:id="rId18" xr:uid="{353F2987-897B-5E47-87B3-3326A4FBC9AC}"/>
    <hyperlink ref="C198" r:id="rId19" xr:uid="{FE7EF27D-DD20-E341-9E3F-18758D759B68}"/>
    <hyperlink ref="C199" r:id="rId20" xr:uid="{2BF5C9B4-AB9C-1D48-A75A-97328035CF6C}"/>
    <hyperlink ref="C201" r:id="rId21" xr:uid="{224FB93E-441D-7242-8096-15D31B9543B1}"/>
    <hyperlink ref="C203" r:id="rId22" xr:uid="{09BC8E51-071F-9947-89B1-2E988FAF8539}"/>
    <hyperlink ref="C213" r:id="rId23" xr:uid="{85729E2C-4EE8-8446-91E9-25C0A67E1232}"/>
    <hyperlink ref="C221" r:id="rId24" xr:uid="{9D0A8A05-28C4-0346-88CC-4BE5E607AC7B}"/>
    <hyperlink ref="C228" r:id="rId25" xr:uid="{BD8826A8-6737-C746-960C-A00CAB6BF703}"/>
    <hyperlink ref="C242" r:id="rId26" xr:uid="{38405503-B43D-5344-A2F5-6DDFD64CC67E}"/>
    <hyperlink ref="C244" r:id="rId27" xr:uid="{448BE1A8-F8D0-B141-85FE-FBEF0F9D7EB5}"/>
    <hyperlink ref="C245" r:id="rId28" xr:uid="{3EB04F17-5785-1944-86D1-2A0FE3BBF796}"/>
    <hyperlink ref="C246" r:id="rId29" xr:uid="{D29697E3-C457-4F4F-A8FD-24BE9F165981}"/>
    <hyperlink ref="C247" r:id="rId30" xr:uid="{F1D8054D-5737-824C-B0F5-90CBB21175F6}"/>
    <hyperlink ref="C254" r:id="rId31" xr:uid="{893EF778-0238-044C-81D9-F2BEC04390F4}"/>
    <hyperlink ref="C255" r:id="rId32" xr:uid="{A3502665-6661-AA48-AA28-83B8C4E38EF5}"/>
    <hyperlink ref="C263" r:id="rId33" xr:uid="{27ED9CB0-5CB5-2240-89DE-546A384E14BC}"/>
    <hyperlink ref="C275" r:id="rId34" xr:uid="{15F760E0-764B-724E-87E6-9AD99A21183E}"/>
    <hyperlink ref="C277" r:id="rId35" xr:uid="{28748537-D0A9-8140-A8EA-C5D8D50F4175}"/>
    <hyperlink ref="C278" r:id="rId36" xr:uid="{BA13D745-946C-DA45-BCA8-0F8F749D9C47}"/>
    <hyperlink ref="C285" r:id="rId37" xr:uid="{683E4CE6-FAA8-E449-9F32-D617FF1B284C}"/>
    <hyperlink ref="C286" r:id="rId38" xr:uid="{092B9E4C-27ED-054A-9A69-2AE6DDE62C1E}"/>
    <hyperlink ref="C287" r:id="rId39" xr:uid="{009C52A8-55B5-A847-9366-1B571C062146}"/>
    <hyperlink ref="C288" r:id="rId40" xr:uid="{CDFB3578-11A2-E443-8F8E-C133BDF99BAD}"/>
    <hyperlink ref="C293" r:id="rId41" xr:uid="{75DB1FF0-299F-3648-83A4-3B2678AF3DF6}"/>
    <hyperlink ref="C313" r:id="rId42" xr:uid="{A99A5671-2F02-A94E-B355-8BD705E594CB}"/>
    <hyperlink ref="C314" r:id="rId43" xr:uid="{9E008362-20F2-9742-9185-4B4441D1CFA6}"/>
    <hyperlink ref="C315" r:id="rId44" xr:uid="{915362AA-D8FC-F446-B7A7-07125AEFDF9F}"/>
    <hyperlink ref="C316" r:id="rId45" xr:uid="{55136BCE-2920-D04C-9720-EFBC4AA5165D}"/>
    <hyperlink ref="C321" r:id="rId46" xr:uid="{3F726657-DEBA-8A4F-B6B5-ECD0AC1C2897}"/>
    <hyperlink ref="C334" r:id="rId47" xr:uid="{D12B9C81-2B01-864A-A70D-8EF78A4B1655}"/>
    <hyperlink ref="C339" r:id="rId48" xr:uid="{564FE589-EC64-ED48-809A-D95EC660FCC2}"/>
    <hyperlink ref="C344" r:id="rId49" xr:uid="{12A46F35-0C18-F843-B08A-CE5E27C983F7}"/>
    <hyperlink ref="C349" r:id="rId50" xr:uid="{751868AB-C926-444F-B9F6-12235F4E8F68}"/>
    <hyperlink ref="C352" r:id="rId51" xr:uid="{0241188A-2D1F-3340-8E45-FD355D3DD1C3}"/>
    <hyperlink ref="C368" r:id="rId52" xr:uid="{66C09B96-AE9F-2A42-90B3-1F9A042B7254}"/>
    <hyperlink ref="C369" r:id="rId53" xr:uid="{63F5F0B5-C511-F749-AD5A-AC25E3E6B2A0}"/>
    <hyperlink ref="C377" r:id="rId54" xr:uid="{C3FB3486-1EB9-BD4A-89AB-117FDB67829C}"/>
    <hyperlink ref="C378" r:id="rId55" xr:uid="{3016B662-5D81-AD47-AE59-BBDFE371BF08}"/>
    <hyperlink ref="C386" r:id="rId56" xr:uid="{34B1CC9F-620C-A547-8833-CA8D02522FC9}"/>
    <hyperlink ref="C387" r:id="rId57" xr:uid="{B3B7DE47-03AD-2340-8593-8D5E8EF8318E}"/>
    <hyperlink ref="C393" r:id="rId58" xr:uid="{01758118-CBDA-0C41-86BC-F984048790C6}"/>
    <hyperlink ref="C394" r:id="rId59" xr:uid="{690C7F68-5DBC-EF41-A743-765AB6D90832}"/>
    <hyperlink ref="C403" r:id="rId60" xr:uid="{38527175-3D1A-C94F-B4FB-DB12886ED6E4}"/>
    <hyperlink ref="C404" r:id="rId61" xr:uid="{4951195C-8BE3-F142-87DB-8E6CFCE649D2}"/>
    <hyperlink ref="C408" r:id="rId62" xr:uid="{5E1BDFA9-DBD8-A243-8C90-1DF5C67C19E7}"/>
    <hyperlink ref="C409" r:id="rId63" xr:uid="{6F6161FE-7141-FA4F-86DE-64FD32B867A9}"/>
    <hyperlink ref="C418" r:id="rId64" xr:uid="{73E883A5-F196-6B41-9B38-83629C467352}"/>
    <hyperlink ref="C420" r:id="rId65" xr:uid="{295CAF59-AE4E-1B40-8368-01BB7C7EF854}"/>
    <hyperlink ref="C422" r:id="rId66" xr:uid="{9A4B99A5-DEBF-8A40-92B9-0FFCB53DFDC8}"/>
    <hyperlink ref="C423" r:id="rId67" xr:uid="{D2BDDB8B-B995-5C4D-94D6-378DEF1E7E91}"/>
    <hyperlink ref="C424" r:id="rId68" xr:uid="{58364137-A023-F543-AF96-D9660893BA71}"/>
    <hyperlink ref="C426" r:id="rId69" xr:uid="{CBD16B8F-42E3-DA4F-9CBD-6EBE90021C95}"/>
    <hyperlink ref="C427" r:id="rId70" xr:uid="{96CA0A09-2738-4B43-8DE3-2DAEF03D25FA}"/>
    <hyperlink ref="C428" r:id="rId71" xr:uid="{D93C55BA-E0C4-1A46-BC1A-53128D6C4193}"/>
    <hyperlink ref="C434" r:id="rId72" xr:uid="{25F5DEA3-B1B0-E44F-86B8-396F2E6D20A7}"/>
    <hyperlink ref="C441" r:id="rId73" xr:uid="{FF54DC2A-F835-4042-84BE-0E309905451A}"/>
    <hyperlink ref="C451" r:id="rId74" xr:uid="{12536D34-9CE3-B54F-AA17-2FCC055212F8}"/>
    <hyperlink ref="C452" r:id="rId75" xr:uid="{304CB79C-1B54-9548-B221-2A8F2115126A}"/>
    <hyperlink ref="C453" r:id="rId76" xr:uid="{598BCDAF-4882-8747-9E97-A966E8CF2B16}"/>
    <hyperlink ref="C454" r:id="rId77" xr:uid="{53FE3D02-E077-1A4A-B734-540BD6A4DD47}"/>
    <hyperlink ref="C462" r:id="rId78" xr:uid="{9D7870DD-170B-6A42-8C99-74916FBDEB00}"/>
    <hyperlink ref="C463" r:id="rId79" xr:uid="{BAA4AF66-9BEA-8C45-882C-9498F1DBB7B7}"/>
    <hyperlink ref="C471" r:id="rId80" xr:uid="{CB95B90F-18B0-AA45-9E82-3004E94B104F}"/>
    <hyperlink ref="C497" r:id="rId81" xr:uid="{FB987322-DCFC-BC47-8B2B-F966F53FB3B7}"/>
    <hyperlink ref="C504" r:id="rId82" xr:uid="{EC32834E-8A1F-8047-9B31-8FC02DEC9E3A}"/>
    <hyperlink ref="C505" r:id="rId83" xr:uid="{E3722147-43FB-2142-AB2A-747B03EA8CD8}"/>
    <hyperlink ref="C516" r:id="rId84" xr:uid="{59A8F2AA-64B4-7E44-88A0-104DAF1A5CA4}"/>
    <hyperlink ref="C521" r:id="rId85" xr:uid="{828DAE23-C315-A64B-9979-0786780190C8}"/>
    <hyperlink ref="C524" r:id="rId86" xr:uid="{58FFD79E-8067-CB4A-9B51-1ABC1FBF8AC3}"/>
    <hyperlink ref="C532" r:id="rId87" xr:uid="{1A655DA4-DD23-C842-8455-A612EDEF6CA1}"/>
    <hyperlink ref="C533" r:id="rId88" xr:uid="{438C53D3-2EBF-FB40-9D85-3402B91F58FD}"/>
    <hyperlink ref="C539" r:id="rId89" xr:uid="{58CECC99-03D6-CC4F-BE8D-AF2F607EC9BB}"/>
    <hyperlink ref="C542" r:id="rId90" xr:uid="{F8BE547A-227B-3A47-98BE-D267E1FB6F90}"/>
    <hyperlink ref="C544" r:id="rId91" xr:uid="{02AE56C1-7410-E64F-B3D4-667F25724FAC}"/>
    <hyperlink ref="C549" r:id="rId92" xr:uid="{9CB17578-C9A4-5841-8025-2D495EACF10D}"/>
    <hyperlink ref="C552" r:id="rId93" xr:uid="{4356C7E9-1B29-BF42-926D-F9594E4E3B1B}"/>
    <hyperlink ref="C562" r:id="rId94" xr:uid="{AC629125-F0CB-F74F-9D75-A1D03CEB9E22}"/>
    <hyperlink ref="C574" r:id="rId95" xr:uid="{7D8CC33A-2CA3-A643-895A-E10D2F3D4CA4}"/>
    <hyperlink ref="C576" r:id="rId96" xr:uid="{814332BC-0762-9E4F-B467-1FFB3DD916A6}"/>
    <hyperlink ref="C584" r:id="rId97" xr:uid="{E6377BB1-FE18-9147-B1A7-8A6C2822B152}"/>
    <hyperlink ref="C586" r:id="rId98" xr:uid="{D1180AD8-126D-7B46-B9B7-4ED89AED57BE}"/>
    <hyperlink ref="C595" r:id="rId99" xr:uid="{ECBDAC47-0A90-AC4F-9A81-0CED6D8FAEA6}"/>
    <hyperlink ref="C596" r:id="rId100" xr:uid="{BC3E2280-39F8-2B48-A090-1DB2A424067F}"/>
    <hyperlink ref="C602" r:id="rId101" xr:uid="{5D9E2BE7-68DB-9542-98EC-F5514018E91C}"/>
    <hyperlink ref="C623" r:id="rId102" xr:uid="{D54F7951-0631-FE48-B127-27753465423B}"/>
    <hyperlink ref="C631" r:id="rId103" xr:uid="{1C690BF9-6594-1941-A462-C80EC5573FA7}"/>
    <hyperlink ref="C633" r:id="rId104" xr:uid="{94EDD7BA-7C84-F140-ABED-5AA8889A7695}"/>
    <hyperlink ref="C639" r:id="rId105" xr:uid="{4129E06E-314F-6942-B181-82986051C709}"/>
    <hyperlink ref="C658" r:id="rId106" xr:uid="{2EB22B4A-A0BB-D04E-8340-B41D9ACEF0E0}"/>
    <hyperlink ref="C662" r:id="rId107" xr:uid="{D6D087AB-8C51-3F4A-AED9-C5D2824269A0}"/>
    <hyperlink ref="C663" r:id="rId108" xr:uid="{1B1019D3-49DB-3B4A-8942-A52D90604602}"/>
    <hyperlink ref="C664" r:id="rId109" xr:uid="{B7B1CEB9-DFA5-114F-A2D4-8513E4A58CF1}"/>
    <hyperlink ref="C677" r:id="rId110" xr:uid="{2A9D8634-EE20-2541-9A04-3C1E6465EDF3}"/>
    <hyperlink ref="C682" r:id="rId111" xr:uid="{E1776E9A-D57A-0545-9282-0F1051F6260D}"/>
    <hyperlink ref="C683" r:id="rId112" xr:uid="{166EAB02-9F3D-4547-BD02-65A50A70ECC9}"/>
    <hyperlink ref="C692" r:id="rId113" xr:uid="{B2A6AA71-70C7-D24D-8F9B-F97EE28F6499}"/>
    <hyperlink ref="C697" r:id="rId114" xr:uid="{76D7925C-209D-9E46-B027-9AF4101FB49E}"/>
    <hyperlink ref="C705" r:id="rId115" xr:uid="{D4410475-85A1-9B4D-B040-1E728BD453CD}"/>
    <hyperlink ref="C712" r:id="rId116" xr:uid="{92F0B649-5A8F-C247-8EAA-000F599EB16E}"/>
    <hyperlink ref="C720" r:id="rId117" xr:uid="{5C464549-FC0E-A340-B277-96B3C3677F13}"/>
    <hyperlink ref="C723" r:id="rId118" xr:uid="{C1BB7A3B-CD57-8142-9A16-06CBDF2E59F7}"/>
    <hyperlink ref="C724" r:id="rId119" xr:uid="{675B6A47-F705-DD43-B5FE-8FDF21707D36}"/>
    <hyperlink ref="C727" r:id="rId120" xr:uid="{BC596A21-A53B-CB44-870D-55361FB1D045}"/>
    <hyperlink ref="C735" r:id="rId121" xr:uid="{14EAF2D8-DE0C-394F-A10C-5C40019F8702}"/>
    <hyperlink ref="C739" r:id="rId122" xr:uid="{35D835E3-85CC-B148-A9E6-FBBE05A346CB}"/>
    <hyperlink ref="C742" r:id="rId123" xr:uid="{55F22E8D-3276-3D4B-80DA-2DCF859CA1FC}"/>
    <hyperlink ref="C743" r:id="rId124" xr:uid="{1BAF765A-0222-DF45-BB19-F833D0A1C91D}"/>
    <hyperlink ref="C746" r:id="rId125" xr:uid="{6FC4C460-B3B2-5B4B-B2B4-AE7B9185DB06}"/>
    <hyperlink ref="C752" r:id="rId126" xr:uid="{99A42652-AA52-B240-A15D-3310C8CA592C}"/>
    <hyperlink ref="C753" r:id="rId127" xr:uid="{05FF4CD0-01A1-3240-BAC8-01F6AA208C97}"/>
    <hyperlink ref="C754" r:id="rId128" xr:uid="{19561B6F-E3FC-654E-94B0-BFDBA7F5EC81}"/>
    <hyperlink ref="C755" r:id="rId129" xr:uid="{3827A44F-F04F-9F4C-88A7-0560DCEAD708}"/>
    <hyperlink ref="C760" r:id="rId130" xr:uid="{B95CBDE0-B485-6949-9281-4C414E7B4E00}"/>
    <hyperlink ref="C788" r:id="rId131" xr:uid="{CC595DE4-0E84-F64C-BA84-4559ABB1467B}"/>
    <hyperlink ref="C798" r:id="rId132" xr:uid="{3DFE5E16-4D23-1042-A9FE-F35C43A402D0}"/>
    <hyperlink ref="C799" r:id="rId133" xr:uid="{37987E33-3A8E-C947-8335-CC02BC665430}"/>
    <hyperlink ref="C803" r:id="rId134" xr:uid="{34C6B640-0FEE-D946-A83F-7D849310E4A7}"/>
    <hyperlink ref="C810" r:id="rId135" xr:uid="{2209F677-41BF-8642-B7B4-0504C6896D27}"/>
    <hyperlink ref="C826" r:id="rId136" xr:uid="{28C6E080-9DA1-4D4B-A15E-3195C2641BF9}"/>
    <hyperlink ref="C832" r:id="rId137" xr:uid="{40466707-A9B0-5640-943B-89E946821E6B}"/>
    <hyperlink ref="C834" r:id="rId138" xr:uid="{745EE373-6C57-C347-90AC-B6CF0D810DBE}"/>
    <hyperlink ref="C22" r:id="rId139" xr:uid="{778568FB-E7CA-5649-B3F1-84522E3A6CDF}"/>
    <hyperlink ref="C25" r:id="rId140" xr:uid="{9249A0D7-78FF-6B46-8218-41F26EE4A769}"/>
    <hyperlink ref="C27" r:id="rId141" xr:uid="{ACC409E1-46F5-B746-861A-542B764DBA65}"/>
    <hyperlink ref="C29" r:id="rId142" display="https://www.goldfields.com/pdf/investors/integrated-annual-reports/2023/iar-2023-lowres.pdf" xr:uid="{CBCEBF04-7A31-0F47-8352-0244E37FA4E7}"/>
    <hyperlink ref="C33" r:id="rId143" xr:uid="{34C90393-E590-EC49-9F8C-DBFDE7D98298}"/>
    <hyperlink ref="C41" r:id="rId144" xr:uid="{69C5F8C8-14A9-284D-B11F-8DC1A0E439F2}"/>
    <hyperlink ref="C51" r:id="rId145" xr:uid="{0C99ACC1-AE34-C543-9147-941B3B315A7F}"/>
    <hyperlink ref="C64" r:id="rId146" xr:uid="{18FF8537-E106-0E43-A11B-42514FB32AB4}"/>
    <hyperlink ref="C75" r:id="rId147" xr:uid="{D6024A03-3A10-9D41-BB45-2D7245D9A7DD}"/>
    <hyperlink ref="C79" r:id="rId148" xr:uid="{E28EAB72-465F-9E47-8496-893334D205E7}"/>
    <hyperlink ref="C89" r:id="rId149" xr:uid="{7526785F-E3C3-E849-81A0-5B3A4B6099ED}"/>
    <hyperlink ref="C97" r:id="rId150" xr:uid="{F1F5D1A9-4F95-1848-BBD7-D98DF3095114}"/>
    <hyperlink ref="C117" r:id="rId151" xr:uid="{49130304-0144-8F48-B208-3C802D0609BB}"/>
    <hyperlink ref="C125" r:id="rId152" xr:uid="{0FC0FB60-C49D-0A41-AAFA-F228D7C2B577}"/>
    <hyperlink ref="C134" r:id="rId153" xr:uid="{0E60010C-2BD6-D840-B4E4-7059510ECD63}"/>
    <hyperlink ref="C140" r:id="rId154" xr:uid="{A599C362-DA68-5A43-BB86-F950AF05EC16}"/>
    <hyperlink ref="C145" r:id="rId155" xr:uid="{DDA3B299-4D34-2040-B4CD-4750C4D09C9B}"/>
    <hyperlink ref="C153" r:id="rId156" xr:uid="{2CDDFD59-560B-6048-ABE2-A9843B013066}"/>
    <hyperlink ref="C162" r:id="rId157" xr:uid="{69053E71-FB61-DE48-ABD1-28EC636BDC56}"/>
    <hyperlink ref="C171" r:id="rId158" xr:uid="{94CEAE29-2F06-224F-908E-43490F660A81}"/>
    <hyperlink ref="C177" r:id="rId159" xr:uid="{C170E391-7B6E-DF48-8DBB-47031CE0FD72}"/>
    <hyperlink ref="C190" r:id="rId160" xr:uid="{86DAA440-1A94-3C41-8200-E6FE12D4C562}"/>
    <hyperlink ref="C206" r:id="rId161" xr:uid="{040197B8-FC14-FC45-BC67-79F5973F3B7B}"/>
    <hyperlink ref="C215" r:id="rId162" xr:uid="{FB13A541-FD7D-C840-88E7-08147D776D56}"/>
    <hyperlink ref="C223" r:id="rId163" xr:uid="{1212DB3B-A0BE-FE4E-A6AB-91FAB92DCE21}"/>
    <hyperlink ref="C232" r:id="rId164" xr:uid="{FD07F84D-BE9F-544B-BCAB-C93F1E2DBD6D}"/>
    <hyperlink ref="C234" r:id="rId165" xr:uid="{10B2681B-5D72-B341-A3F8-F14B4A24D71B}"/>
    <hyperlink ref="C237" r:id="rId166" xr:uid="{EF403437-D9F5-7A48-8BF1-ED4A3B21428D}"/>
    <hyperlink ref="C249" r:id="rId167" xr:uid="{FE29DE2E-E907-8341-84E0-14DDEC6F4862}"/>
    <hyperlink ref="C256" r:id="rId168" xr:uid="{01FC6D27-EFFD-D945-A3AD-7604431D463E}"/>
    <hyperlink ref="C266" r:id="rId169" xr:uid="{88B5A1FD-6F8F-9846-B4A6-FE4E7836DCDD}"/>
    <hyperlink ref="C279" r:id="rId170" xr:uid="{55B4C715-EDF7-F545-BE59-8F7D4D7D254F}"/>
    <hyperlink ref="C294" r:id="rId171" xr:uid="{A2BE2B5C-6E08-CC43-8534-BDBFFF272E31}"/>
    <hyperlink ref="C301" r:id="rId172" xr:uid="{FFFCF916-906A-9049-9627-D00376943FF4}"/>
    <hyperlink ref="C308" r:id="rId173" xr:uid="{5F8669F9-D80C-D64F-8ECA-C0606AFE05E2}"/>
    <hyperlink ref="C325" r:id="rId174" xr:uid="{CFA0866C-2CA2-7445-824D-82C21226E116}"/>
    <hyperlink ref="C336" r:id="rId175" xr:uid="{5DF24EEB-33E7-A946-9CE6-11FAFEE5E685}"/>
    <hyperlink ref="C341" r:id="rId176" xr:uid="{3829469F-BB61-634A-A5E7-2C8018CFE0F3}"/>
    <hyperlink ref="C346" r:id="rId177" xr:uid="{E78B48E9-3D5E-524A-A489-879C44D478DC}"/>
    <hyperlink ref="C355" r:id="rId178" xr:uid="{594E7029-ACB4-6F48-9387-7FB4B7F96DAB}"/>
    <hyperlink ref="C361" r:id="rId179" xr:uid="{679EF490-F135-974F-AE73-9CC2F1C1ED16}"/>
    <hyperlink ref="C370" r:id="rId180" xr:uid="{FB93C2A9-A12C-1F41-92BD-6B215614D6D8}"/>
    <hyperlink ref="C379" r:id="rId181" xr:uid="{5D6C967C-BA21-7E43-BD4B-56AB675BC5F3}"/>
    <hyperlink ref="C395" r:id="rId182" xr:uid="{4D887581-EAE6-174F-AA93-7D3238BDFA92}"/>
    <hyperlink ref="C412" r:id="rId183" xr:uid="{9359653B-C709-F048-BE29-9A980E57CF7E}"/>
    <hyperlink ref="C430" r:id="rId184" xr:uid="{A216069C-461B-6A46-A2D9-4385ED99A125}"/>
    <hyperlink ref="C436" r:id="rId185" xr:uid="{BB6CCFA5-AD8E-F140-AACD-516966D1348D}"/>
    <hyperlink ref="C444" r:id="rId186" xr:uid="{ADDF7951-F19F-6344-9E47-750044AD9AC6}"/>
    <hyperlink ref="C455" r:id="rId187" xr:uid="{EC628D98-8E29-7A46-B7EA-D98AECBCA66A}"/>
    <hyperlink ref="C464" r:id="rId188" xr:uid="{3780DC6F-F55A-1E49-867F-8CEC91F493D7}"/>
    <hyperlink ref="C472" r:id="rId189" xr:uid="{9F2C1FA3-806C-084D-ADE7-EA1BAF26F5B5}"/>
    <hyperlink ref="C479" r:id="rId190" xr:uid="{4090EB24-A969-ED47-B8DF-E9DACF3CF7F4}"/>
    <hyperlink ref="C492" r:id="rId191" xr:uid="{84146F33-008A-8943-AA59-61374AE6D5F6}"/>
    <hyperlink ref="C499" r:id="rId192" xr:uid="{8A7CE55F-5C00-714E-A3E7-9BE26AAB3D22}"/>
    <hyperlink ref="C512" r:id="rId193" xr:uid="{4BEFD6B1-AFB1-1C4B-92FC-EE866C3F6F2A}"/>
    <hyperlink ref="C518" r:id="rId194" xr:uid="{024CFBFA-8916-2E4B-826C-FE3390689F6B}"/>
    <hyperlink ref="C529" r:id="rId195" xr:uid="{E9B9E399-334F-8446-90FB-876B7E8F9FE4}"/>
    <hyperlink ref="C536" r:id="rId196" xr:uid="{7D83D6A2-E62B-3C42-9BB8-A7EFC8ABFA2F}"/>
    <hyperlink ref="C545" r:id="rId197" xr:uid="{58CA25B0-21F1-4940-A3C1-789CF76E0F58}"/>
    <hyperlink ref="C553" r:id="rId198" xr:uid="{F44F17A3-7AB8-D746-88CE-10789951C908}"/>
    <hyperlink ref="C557" r:id="rId199" xr:uid="{8B318AF1-04E3-9E40-A970-54B4E25835AD}"/>
    <hyperlink ref="C569" r:id="rId200" xr:uid="{6BDADC03-2C3E-8948-B839-6C98D15AD7BE}"/>
    <hyperlink ref="C579" r:id="rId201" xr:uid="{5255887E-4C99-C645-8D27-275966920FF5}"/>
    <hyperlink ref="C590" r:id="rId202" xr:uid="{FDAF6928-B075-5049-AA60-A1CFAB72887C}"/>
    <hyperlink ref="C597" r:id="rId203" xr:uid="{8389422C-60F8-D247-92B9-3D88F169D345}"/>
    <hyperlink ref="C605" r:id="rId204" xr:uid="{711E676E-0B53-304D-A72A-8A94F29E6751}"/>
    <hyperlink ref="C610" r:id="rId205" xr:uid="{AA9242D3-E482-2A48-A70A-879AA3F28700}"/>
    <hyperlink ref="C615" r:id="rId206" xr:uid="{4B17CFEA-EB37-6345-BC2B-A712479630EF}"/>
    <hyperlink ref="C620" r:id="rId207" xr:uid="{2936651D-C6AB-BE4E-BEF3-1B33E324E076}"/>
    <hyperlink ref="C626" r:id="rId208" xr:uid="{5D50E22A-B4C4-D849-B0D9-2BD77466FA27}"/>
    <hyperlink ref="C628" r:id="rId209" xr:uid="{7AC868FE-3E7C-EF4A-860A-7C5DC803E963}"/>
    <hyperlink ref="C635" r:id="rId210" xr:uid="{700FB822-3573-874B-A71C-26B838D68DDE}"/>
    <hyperlink ref="C641" r:id="rId211" xr:uid="{0362F99E-742F-8A4B-9FB7-47D264B760B6}"/>
    <hyperlink ref="C653" r:id="rId212" xr:uid="{6112D296-E659-1645-844C-BF6D6E275846}"/>
    <hyperlink ref="C647" r:id="rId213" xr:uid="{1A5ABC49-CE7D-E94E-B193-7ED45FFE8FB0}"/>
    <hyperlink ref="C661" r:id="rId214" xr:uid="{B1B51183-0B52-0E44-A88D-02DAC50D18D7}"/>
    <hyperlink ref="C666" r:id="rId215" xr:uid="{F6595D73-E412-F74A-9D57-00414F36EBDE}"/>
    <hyperlink ref="C670" r:id="rId216" xr:uid="{8FC4AF5A-9F76-3C4F-8CA6-322E5490F9E3}"/>
    <hyperlink ref="C686" r:id="rId217" xr:uid="{B5698341-9CB2-0F4F-8240-17D650038A24}"/>
    <hyperlink ref="C700" r:id="rId218" xr:uid="{B9CA34A6-BF20-444F-900C-4330857CF716}"/>
    <hyperlink ref="C707" r:id="rId219" xr:uid="{879902B7-8D67-0B48-A3DF-FC3775F6F99B}"/>
    <hyperlink ref="C715" r:id="rId220" xr:uid="{E1D7F397-77FF-E041-B4C1-6AFEEA436165}"/>
    <hyperlink ref="C730" r:id="rId221" xr:uid="{CB25DA12-F8B0-6449-AE36-CB0AA383BA41}"/>
    <hyperlink ref="C747" r:id="rId222" xr:uid="{C1CD1BBD-3CF9-814E-981A-83FF08B254D3}"/>
    <hyperlink ref="C771" r:id="rId223" xr:uid="{0FA82571-2E29-1E4C-9650-FE5E6DF0D31F}"/>
    <hyperlink ref="C777" r:id="rId224" xr:uid="{197DE3A8-32D7-A645-B279-0EF0439CFF44}"/>
    <hyperlink ref="C783" r:id="rId225" xr:uid="{48DDE443-CCBB-ED44-9DFF-30E13C700C72}"/>
    <hyperlink ref="C792" r:id="rId226" xr:uid="{A65374F7-42E3-144C-B1A6-E6CBE80AA767}"/>
    <hyperlink ref="C805" r:id="rId227" xr:uid="{C4105E3A-6A97-A74E-8705-7FCBF0C555B0}"/>
    <hyperlink ref="C814" r:id="rId228" xr:uid="{233C1391-23F9-DB40-BF80-BED7F9E9F29A}"/>
    <hyperlink ref="C821" r:id="rId229" xr:uid="{446B3C19-3229-B046-99BB-5C87F5B7AE88}"/>
    <hyperlink ref="C829" r:id="rId230" xr:uid="{F4BCEB57-FFD4-E849-BF02-2E66604D3224}"/>
    <hyperlink ref="C835" r:id="rId231" xr:uid="{5DFE2E78-06F8-5F4C-A64A-92F9B2EB0EC3}"/>
    <hyperlink ref="C66" r:id="rId232" xr:uid="{33515D20-CA6F-764F-9285-D22B37F621E2}"/>
    <hyperlink ref="C70" r:id="rId233" xr:uid="{1C97E038-ABAE-054E-AD97-FCE68ADA31B1}"/>
    <hyperlink ref="C77" r:id="rId234" xr:uid="{1A7ACE59-A0F9-1746-B669-118896C35E76}"/>
    <hyperlink ref="C83" r:id="rId235" xr:uid="{967D94AA-9B96-794E-A1E5-8D46849C8B67}"/>
    <hyperlink ref="C99" r:id="rId236" xr:uid="{42890A70-52FE-C34C-AEA5-AF34DC555DB8}"/>
    <hyperlink ref="C109" r:id="rId237" xr:uid="{1881949D-09D1-EB4E-B92E-70DE6DBCD789}"/>
    <hyperlink ref="C87" r:id="rId238" xr:uid="{BC690D2F-9D39-1845-8611-EDAB8DEE4A47}"/>
    <hyperlink ref="C121" r:id="rId239" xr:uid="{D12756BF-014B-0E44-B843-5B707266FD0E}"/>
    <hyperlink ref="C127" r:id="rId240" xr:uid="{082F616A-7CA3-E041-8A04-01C0EFCC013A}"/>
    <hyperlink ref="C129" r:id="rId241" xr:uid="{8751CA60-5189-3D4D-BCD6-9CCF0BFC8ACF}"/>
    <hyperlink ref="C136" r:id="rId242" xr:uid="{267CC58D-3565-0947-A6CF-FE33805A1957}"/>
    <hyperlink ref="C138" r:id="rId243" xr:uid="{40A41EC6-90F0-1B4F-A175-ACB892D7021C}"/>
    <hyperlink ref="C143" r:id="rId244" xr:uid="{78836723-FAE8-ED4B-91BC-DC21F95EBABB}"/>
    <hyperlink ref="C155" r:id="rId245" xr:uid="{4D2ECC6D-AFC6-3142-8600-3EFF3B99A771}"/>
    <hyperlink ref="C164" r:id="rId246" xr:uid="{752B4C63-8BB6-6B4E-A48D-4A426B8BE0A2}"/>
    <hyperlink ref="C208" r:id="rId247" xr:uid="{AAD4083F-C1EA-B948-B022-54EB7B09EA9C}"/>
    <hyperlink ref="C264" r:id="rId248" xr:uid="{B1BBA921-BC3F-E64A-BE35-9B55F50248D1}"/>
    <hyperlink ref="C357" r:id="rId249" xr:uid="{409BD4A8-3A6A-6846-A059-6D8B2AD905CE}"/>
    <hyperlink ref="C372" r:id="rId250" xr:uid="{3BA683C1-815A-A747-BCFB-CA3387CAD1F9}"/>
    <hyperlink ref="C381" r:id="rId251" xr:uid="{7661B7E4-94C8-7A4F-B35B-ED6038F62DB7}"/>
    <hyperlink ref="C388" r:id="rId252" xr:uid="{660A64F9-7CC6-8D4E-B3BB-90F47126EC64}"/>
    <hyperlink ref="C397" r:id="rId253" xr:uid="{4EB3A39B-BDCA-F743-A1B7-1078B3BDD18D}"/>
    <hyperlink ref="C37" r:id="rId254" xr:uid="{53213BE1-15ED-BC49-9450-4263BAD19248}"/>
    <hyperlink ref="C43" r:id="rId255" xr:uid="{C981FA51-718B-EB42-8332-8673195D8065}"/>
    <hyperlink ref="C53" r:id="rId256" xr:uid="{26CAEE0B-09C3-3E41-BF3E-29C401FFD7E2}"/>
    <hyperlink ref="C81" r:id="rId257" xr:uid="{9A86400F-4A55-7141-AEA4-5DECDD3160F3}"/>
    <hyperlink ref="C91" r:id="rId258" xr:uid="{91B061F1-FAE8-8C4D-94F6-CA3785750FE0}"/>
    <hyperlink ref="C103" r:id="rId259" xr:uid="{267027B6-E265-CE4F-8948-D133BE6684DE}"/>
    <hyperlink ref="C123" r:id="rId260" xr:uid="{B55EEF8A-3FF5-9440-AE97-1B0376FC5770}"/>
    <hyperlink ref="C147" r:id="rId261" xr:uid="{6FC7412E-525D-D940-8675-5859C16E5FBF}"/>
    <hyperlink ref="C157" r:id="rId262" xr:uid="{6B52E085-6250-E44C-B1BE-7A3BD6D8F249}"/>
    <hyperlink ref="C166" r:id="rId263" xr:uid="{5FE32E42-9243-364E-854F-D4EB1FFB744B}"/>
    <hyperlink ref="C173" r:id="rId264" xr:uid="{00A9C126-BB8F-C04C-BAB1-75846CFA9AAC}"/>
    <hyperlink ref="C179" r:id="rId265" xr:uid="{92C5B7EF-9564-024C-A146-14B40FE041F2}"/>
    <hyperlink ref="C192" r:id="rId266" xr:uid="{747ACEB1-05DE-8F48-A2CC-A2083DEBDB0A}"/>
    <hyperlink ref="C217" r:id="rId267" xr:uid="{4A060944-D7E2-8F4A-8182-809EBDC0765D}"/>
    <hyperlink ref="C225" r:id="rId268" xr:uid="{952A6841-4780-CD42-964F-312496E1891E}"/>
    <hyperlink ref="C239" r:id="rId269" xr:uid="{8BABF72A-D004-0141-9604-24E07071728D}"/>
    <hyperlink ref="C251" r:id="rId270" xr:uid="{F1B721D4-DEFB-8E47-A931-B51CBF69BFC9}"/>
    <hyperlink ref="C258" r:id="rId271" xr:uid="{EC71D337-864D-C844-A852-F394D6118EEA}"/>
    <hyperlink ref="C271" r:id="rId272" xr:uid="{9F1B72D0-B648-5B43-AD77-324F1EFC1581}"/>
    <hyperlink ref="C298" r:id="rId273" xr:uid="{FB01BB69-C270-4346-AEF1-AD36E5CE2EB0}"/>
    <hyperlink ref="C303" r:id="rId274" xr:uid="{A9FF7AC6-6272-ED4B-84D4-2A244D123E4E}"/>
    <hyperlink ref="C310" r:id="rId275" xr:uid="{D446626A-103D-1440-8A0F-19A08ABCEAF2}"/>
    <hyperlink ref="C327" r:id="rId276" xr:uid="{CC5EBDA5-587D-EF43-BA62-22C18362C60C}"/>
    <hyperlink ref="C446" r:id="rId277" xr:uid="{FB00B199-EE7A-7546-8678-9CF62B998E46}"/>
    <hyperlink ref="C457" r:id="rId278" xr:uid="{757B0641-A770-9746-ACC2-3423AEF6ADF4}"/>
    <hyperlink ref="C466" r:id="rId279" xr:uid="{F9560297-688B-1B4D-A5FB-94EA206A5EE4}"/>
    <hyperlink ref="C475" r:id="rId280" xr:uid="{BE457889-382E-8B4B-AE4E-81C3F77AC4C4}"/>
    <hyperlink ref="C482" r:id="rId281" xr:uid="{4284313C-7F42-8E45-8C93-0806AF7C6711}"/>
    <hyperlink ref="C487" r:id="rId282" xr:uid="{3D1811FD-53E4-854D-B19C-3ECA39F3BF4B}"/>
    <hyperlink ref="C559" r:id="rId283" xr:uid="{298B4312-776F-474B-B038-F6FCDF81396F}"/>
    <hyperlink ref="C571" r:id="rId284" xr:uid="{082E0D08-886E-F545-9C4C-FDA8229B79B3}"/>
    <hyperlink ref="C581" r:id="rId285" xr:uid="{4A92F9E6-B23A-F54C-BD93-AC9C0B1981FD}"/>
    <hyperlink ref="C592" r:id="rId286" xr:uid="{F59AE92D-4016-8D4E-B9FE-0F282F15BCC7}"/>
    <hyperlink ref="C599" r:id="rId287" xr:uid="{DC570403-B67E-3F49-A49D-84EF6FF89C71}"/>
    <hyperlink ref="C607" r:id="rId288" xr:uid="{EF423610-12ED-2241-8F62-BFA9024D3D95}"/>
    <hyperlink ref="C612" r:id="rId289" xr:uid="{0F9AD4D8-FA0B-9948-8106-8485E5977F1A}"/>
    <hyperlink ref="C617" r:id="rId290" xr:uid="{588612C6-B091-E048-86C5-873909ACF8DC}"/>
    <hyperlink ref="C643" r:id="rId291" xr:uid="{F7A5C637-4943-CD40-9F5C-C526D04E002F}"/>
    <hyperlink ref="C655" r:id="rId292" xr:uid="{449CD6C7-6EF1-CD4E-88E1-11EAA320F5C9}"/>
    <hyperlink ref="C688" r:id="rId293" xr:uid="{D954D75E-F2AD-B54B-9A8B-64B809F2E345}"/>
    <hyperlink ref="C702" r:id="rId294" xr:uid="{AE4FBE13-D4A3-3A4E-A38D-F23F1E73FBBB}"/>
    <hyperlink ref="C709" r:id="rId295" xr:uid="{18CDEB5A-BB07-E349-B507-011BE601D577}"/>
    <hyperlink ref="C717" r:id="rId296" xr:uid="{623E111D-F159-C845-8519-AA2D09EC1889}"/>
    <hyperlink ref="C732" r:id="rId297" xr:uid="{184B98CE-BFF8-CD4D-A7EA-2C9CBB5635C8}"/>
    <hyperlink ref="C749" r:id="rId298" xr:uid="{E57D2488-6832-2A45-BE48-3A1E7C71D38C}"/>
    <hyperlink ref="C773" r:id="rId299" xr:uid="{A34807C8-83CB-B64D-A2AF-0C9BFEAB5361}"/>
    <hyperlink ref="C779" r:id="rId300" xr:uid="{62BB70DD-0427-6F40-8C08-FC094F21CDEA}"/>
    <hyperlink ref="C785" r:id="rId301" xr:uid="{BDEF81EB-10DA-4548-9DBB-09FC35FCB196}"/>
    <hyperlink ref="C794" r:id="rId302" xr:uid="{796BCD49-B476-A04E-AF41-14DBE3896450}"/>
    <hyperlink ref="C800" r:id="rId303" xr:uid="{49104EB2-DD72-064F-9E6B-441ACAF8480E}"/>
    <hyperlink ref="C807" r:id="rId304" xr:uid="{9F8AEF5D-B3A2-8441-B5DD-37BBAE14EFD0}"/>
    <hyperlink ref="C816" r:id="rId305" xr:uid="{87A7FD92-0608-9C46-AAA3-E565534962DC}"/>
    <hyperlink ref="C823" r:id="rId306" xr:uid="{AF998F8B-7F72-3347-827D-5DE8B95481CD}"/>
    <hyperlink ref="C31" r:id="rId307" xr:uid="{96412816-7FB6-B044-B076-E73EE3E633D0}"/>
    <hyperlink ref="C39" r:id="rId308" xr:uid="{2FACF95C-3998-574C-B871-8F6387C35174}"/>
    <hyperlink ref="C45" r:id="rId309" xr:uid="{C8347C0B-9B01-CA4D-881A-B4F60D1C72CC}"/>
    <hyperlink ref="C49" r:id="rId310" xr:uid="{5693846B-2D8F-BB49-BE9C-DA07F9ADB0E7}"/>
    <hyperlink ref="C93" r:id="rId311" xr:uid="{B798A4E2-3663-2D45-96D7-E1FF25993CFB}"/>
    <hyperlink ref="C105" r:id="rId312" xr:uid="{A54C58DA-826C-5F4B-A762-06F3033FD2B0}"/>
    <hyperlink ref="C149" r:id="rId313" xr:uid="{B1917AEE-2702-C84F-9A22-8FA830AFA2D0}"/>
    <hyperlink ref="C175" r:id="rId314" xr:uid="{7C8DCBFD-6C7A-8845-91DF-5F43CD92D10C}"/>
    <hyperlink ref="C194" r:id="rId315" xr:uid="{C17E66E3-D5CD-3D42-A4D7-C0FFEA092268}"/>
    <hyperlink ref="C210" r:id="rId316" xr:uid="{2D003608-F607-0342-AAD4-F050743891AF}"/>
    <hyperlink ref="C260" r:id="rId317" xr:uid="{13E36485-E6CA-D040-A554-87D76B16BD61}"/>
    <hyperlink ref="C296" r:id="rId318" xr:uid="{E218B9B6-02EA-154B-B6A8-38A32AE15027}"/>
    <hyperlink ref="C415" r:id="rId319" xr:uid="{9C44C9F8-719D-1945-915E-82611C495023}"/>
    <hyperlink ref="C432" r:id="rId320" xr:uid="{34874478-3D46-7240-82FE-A3099FA4D757}"/>
    <hyperlink ref="C440" r:id="rId321" xr:uid="{F435D02E-83C3-444F-8A34-CF66453300DB}"/>
    <hyperlink ref="C448" r:id="rId322" xr:uid="{987FC748-118B-5C40-8752-2D1004A794F3}"/>
    <hyperlink ref="C459" r:id="rId323" xr:uid="{90CED97D-B41A-AE44-A827-4ACFB5FD4AAE}"/>
    <hyperlink ref="C468" r:id="rId324" xr:uid="{E2C550BE-C4DF-8B4C-980C-2D4BDFA57215}"/>
    <hyperlink ref="C477" r:id="rId325" xr:uid="{4D84274E-14D7-0948-9509-B594CE342777}"/>
    <hyperlink ref="C484" r:id="rId326" xr:uid="{0536F7D7-06E9-094A-95EF-A5C21F052F2A}"/>
    <hyperlink ref="C489" r:id="rId327" xr:uid="{3850D444-A32E-4A4A-8F2B-842F5E9DA595}"/>
    <hyperlink ref="C494" r:id="rId328" xr:uid="{7C701A23-FF9F-534E-A3AD-A093C12471CA}"/>
    <hyperlink ref="C501" r:id="rId329" xr:uid="{13A00A31-FA9C-8C4D-931E-F2CF44E8DA43}"/>
    <hyperlink ref="C514" r:id="rId330" xr:uid="{85099C84-3F75-B245-B066-AC95F5944893}"/>
    <hyperlink ref="C523" r:id="rId331" xr:uid="{9BDACFDC-03EC-E547-A222-B4B4621B3DC5}"/>
    <hyperlink ref="C649" r:id="rId332" xr:uid="{FB1EE338-7F7B-9444-8B72-A5E94B946C86}"/>
    <hyperlink ref="C35" r:id="rId333" xr:uid="{6D945395-FA98-CD47-9A65-64AF0BEF7815}"/>
    <hyperlink ref="C101" r:id="rId334" xr:uid="{9499F37B-03A9-594A-8AE7-CB092599290E}"/>
    <hyperlink ref="C111" r:id="rId335" xr:uid="{95B5AEF0-425D-2943-BFA3-42233D43D2E5}"/>
    <hyperlink ref="C119" r:id="rId336" xr:uid="{ED7DABDD-2896-904F-BA74-4643F65AABCC}"/>
    <hyperlink ref="C365" r:id="rId337" xr:uid="{A3380345-FC95-3542-B2C0-9F8029654681}"/>
    <hyperlink ref="C374" r:id="rId338" xr:uid="{6CBFA01C-69AD-764A-8B89-AE1A1FE54831}"/>
    <hyperlink ref="C383" r:id="rId339" xr:uid="{EB7F6174-76B5-AE41-99D7-C23988E6FC64}"/>
    <hyperlink ref="C390" r:id="rId340" xr:uid="{A64985D4-1282-0B48-991E-127D14CC7CFE}"/>
    <hyperlink ref="C399" r:id="rId341" xr:uid="{75498D16-C9DC-0E4E-9D22-FE1B7BC0B9A5}"/>
    <hyperlink ref="C269" r:id="rId342" xr:uid="{67DF6454-0079-A849-881C-FC54B3F2CCDE}"/>
    <hyperlink ref="C305" r:id="rId343" xr:uid="{5B6A9273-CA24-A940-8A84-EC3039926A68}"/>
    <hyperlink ref="C363" r:id="rId344" xr:uid="{00029C41-21B9-A740-96DE-3BAA9BD479C4}"/>
    <hyperlink ref="C50" location="'Supply Chain'!A1" display="ESG Data – Supply Chain" xr:uid="{B8A95E42-CB83-9047-A571-ECA0173F3E95}"/>
    <hyperlink ref="C56" location="Workforce!A1" display="ESG Data – Workforce;" xr:uid="{EB93CA78-BED8-A14A-BCD2-4F21FEFA08E3}"/>
    <hyperlink ref="C57" location="' Diversity &amp; Equal Opportunity'!A1" display="ESG Data – Diversity and Equal Opportunity" xr:uid="{B03A3D0B-5701-DA4A-880A-A650CE638EFC}"/>
    <hyperlink ref="C58" location="'Training '!A1" display="ESG Data – Training and Development" xr:uid="{B885CC26-87FE-8E43-8120-FCD5CA795277}"/>
    <hyperlink ref="C59" location="'Host Community Employment'!A1" display="ESG Data – Host Community Employment" xr:uid="{FFEADB4E-18E0-CA46-9E44-592D4A04EAB4}"/>
    <hyperlink ref="C63" location="Workforce!A1" display="ESG Data – Workforce" xr:uid="{CE80E14F-C0B7-654C-964B-1CD354FC4526}"/>
    <hyperlink ref="C142" location="'Remuneration '!A1" display="ESG Data - Remuneration" xr:uid="{9230BAFF-9950-2C43-8100-DE967D4FC571}"/>
    <hyperlink ref="C189" location="'Community Grievances'!A1" display="ESG Data - Community Grievances" xr:uid="{5B01EC4E-1AC4-DA43-A810-5BA2CD4CD839}"/>
    <hyperlink ref="C204" location="'Environment &amp; Compliance'!A1" display="ESG Data – Environment" xr:uid="{363AB122-7812-C44A-8189-8E88E9E542B8}"/>
    <hyperlink ref="C205" location="'Closure Costs  '!A1" display="ESG Data - Closure" xr:uid="{3D018A35-E42C-D54A-B5AC-ED1216CF7993}"/>
    <hyperlink ref="C214" location="'Policy Influence'!A1" display="ESG Data Policy Influence" xr:uid="{05B1424F-F5AA-FF49-8024-36548F4BDD3D}"/>
    <hyperlink ref="C220" location="'Stakeholder Engagement'!A1" display="ESG Data – Stakeholder Engagement" xr:uid="{C289B86B-6E91-7F48-8B5E-CEE7018128AF}"/>
    <hyperlink ref="C230" location="Workforce!A1" display="ESG Data – Workforce" xr:uid="{B7DEFD87-EE60-CF45-8DCB-8E6CD3CD55C7}"/>
    <hyperlink ref="C273" location="' Diversity &amp; Equal Opportunity'!A1" display="ESG Data – Diversity and Equal Opportunity" xr:uid="{952004F7-7D52-0142-B301-0F9E56BFB883}"/>
    <hyperlink ref="C281" location="'Remuneration '!A1" display="ESG Data – Remuneration" xr:uid="{77EC446B-531C-4743-9FD9-94B6AD72DAE0}"/>
    <hyperlink ref="C282" location="'Host Community Employment'!A1" display="ESG Data – Host Community Employment" xr:uid="{6994E40D-B397-D148-AA74-BD45DC586BB4}"/>
    <hyperlink ref="C300" location="'Socio Economic Development $'!A1" display="ESG Data – Socio Economic Development" xr:uid="{A1F71BDB-DAF7-6C47-AB23-0CA884603515}"/>
    <hyperlink ref="C322" location="'Host Community Procurement'!A1" display="ESG Data – Host Community Procurement" xr:uid="{67B24264-44C9-7741-85F8-01C1690A2360}"/>
    <hyperlink ref="C323" location="'Host Community Value Creation'!A1" display="ESG Data – Host Community Value Creation" xr:uid="{EB734DF2-1960-AF46-924F-8E11E9E6848C}"/>
    <hyperlink ref="C324" location="'Socio Economic Development $'!A1" display="ESG Data – Socio Economic Development Spend" xr:uid="{32E55646-DF30-E24F-B4B6-15BFD05624C8}"/>
    <hyperlink ref="C330" location="'National Value Distribution'!A1" display="ESG Data – National Value Distribution" xr:uid="{511EF3C5-9167-2349-9A16-EFDEAF65CEC1}"/>
    <hyperlink ref="C331" location="'Supply Chain'!A1" display="ESG Data – Supply Chain" xr:uid="{1162583F-88DE-BB47-BFA5-27DE0998A913}"/>
    <hyperlink ref="C332" location="'Host Community Procurement'!A1" display="ESG Data – Host Community Procurement" xr:uid="{6942A0BB-660C-9145-8EDE-7523F5A60769}"/>
    <hyperlink ref="C333" location="'Host Community Value Creation'!A1" display="ESG Data – Host Community Value Creation" xr:uid="{43F91C38-20EC-C342-B9F4-5CF88A01B66C}"/>
    <hyperlink ref="C405" location="'Government and Tax Transparency'!A1" display="ESG Data - Government and Tax Tranparency" xr:uid="{F015CD9C-3326-5040-B481-C5EE61543E5B}"/>
    <hyperlink ref="C411" location="'Environment &amp; Compliance'!A1" display="ESG Data – Environment" xr:uid="{0252B655-C329-5041-A4B4-C2AA6F0ACF4A}"/>
    <hyperlink ref="C414" location="'Environment &amp; Compliance'!A1" display="ESG Data – Environment" xr:uid="{A2BA01A5-B3AA-A84A-8E35-7D85F4857D38}"/>
    <hyperlink ref="C421" location="'Environment &amp; Compliance'!A1" display="ESG Data – Environment – refer to 306-2" xr:uid="{C3A84644-85F0-5445-B4EB-3F36D38E3AD6}"/>
    <hyperlink ref="C438" location="Energy!A1" display="ESG Data – Energy" xr:uid="{91B28EAA-0FD4-EF4B-8406-12FF9186C626}"/>
    <hyperlink ref="C439" location="'Regional Energy'!A1" display="ESG Data – Regional Energy" xr:uid="{0381322A-524F-DE49-8EC5-083E598BDFE8}"/>
    <hyperlink ref="C474" location="Water!A1" display="ESG Data – Water" xr:uid="{4B0698D3-33E4-AB42-9468-6312B254DDCA}"/>
    <hyperlink ref="C481" location="Water!A1" display="ESG Data – Water" xr:uid="{09DE9ECB-6F50-B049-A547-F369BD65C582}"/>
    <hyperlink ref="C486" location="Water!A1" display="ESG Data – Water" xr:uid="{4094863F-037D-DA4E-9606-31F7E7800639}"/>
    <hyperlink ref="C498" location="'Land Management &amp; Biodiversity'!A1" display="ESG Data – Land Management and Biodiversity" xr:uid="{73B946D6-2062-3040-AA4F-3A893E9959D3}"/>
    <hyperlink ref="C509" location="'Land Management &amp; Biodiversity'!A1" display="ESG Data – Land Management and Biodiversity" xr:uid="{B463FD85-D45E-6B4B-8181-EDE0EECB62C1}"/>
    <hyperlink ref="C525" location="'GHG Emissions'!A1" display="ESG Data – Emissions" xr:uid="{B5E859E1-28D0-7B48-9966-878521B6D02F}"/>
    <hyperlink ref="C527" location="'GHG Emissions'!A1" display="ESG Data – Emissions" xr:uid="{98F10CD5-8F25-984D-9D2A-C4CA5707FE14}"/>
    <hyperlink ref="C534" location="'Tailings and Waste'!A1" display="ESG Data – Tailings and Waste" xr:uid="{E9002AC0-8636-4842-8083-26EBBF5DA7BB}"/>
    <hyperlink ref="C535" location="'Tailings and Waste'!A1" display="Refer to GRI 303-4 in ESG Data – Waste" xr:uid="{69700EFD-63E4-A94C-97BE-2FB64A5D8544}"/>
    <hyperlink ref="C543" location="'Tailings and Waste'!A1" display="ESG Data – Tailings and Waste" xr:uid="{E5C6E6DE-A4DB-F54C-8932-67E9E7CAC12B}"/>
    <hyperlink ref="C555" location="'Tailings and Waste'!A1" display="ESG Data – Tailings and Waste" xr:uid="{968C24C6-9975-6443-9279-0A7BB1DDD36F}"/>
    <hyperlink ref="C575" location="'Hiring and Turnover'!A1" display="ESG Data – Hiring and Turnover" xr:uid="{F122F61C-E6A0-F94A-8997-F42C210B6162}"/>
    <hyperlink ref="C577" location="Workforce!A1" display="ESG Data – Workforce" xr:uid="{50A36903-50B2-B848-8596-C4AF5FC827F2}"/>
    <hyperlink ref="C587:C588" location="Workforce!A1" display="ESG Data – Workforce" xr:uid="{84184250-B7AC-E541-8C50-5DEDB979C940}"/>
    <hyperlink ref="C609" location="Safety!A1" display="ESG Data – Safety" xr:uid="{1FA7A790-4721-F24B-A6EB-4C9BF40FAD5A}"/>
    <hyperlink ref="C614" location="Safety!A1" display="ESG Data – Safety" xr:uid="{928CAB33-45BE-7346-B74B-05F3855A6A22}"/>
    <hyperlink ref="C625" location="'Training '!A1" display="ESG Data – Training" xr:uid="{D7DB07AC-6CD4-5A4A-AE19-32BD073B324D}"/>
    <hyperlink ref="C632" location="'Training '!A1" display="ESG Data – Training" xr:uid="{F42D3CB2-45D0-BF47-B88B-717F6FFF49FD}"/>
    <hyperlink ref="C651" location="' Diversity &amp; Equal Opportunity'!A1" display="ESG Data – Diversity and Equal Opportunity" xr:uid="{BF1D4B85-13E8-CD4B-878F-DEC3C45AEFC5}"/>
    <hyperlink ref="C728" location="'Community Grievances'!A1" display="ESG Data – Community Grievances" xr:uid="{A20F56F0-12D1-EF4A-9444-8B024CD22CF5}"/>
    <hyperlink ref="C763" location="'National Value Distribution'!A1" display="ESG Data – National value distribution," xr:uid="{E2FA73C1-9F39-6A48-B6ED-11B19AB835B6}"/>
    <hyperlink ref="C764" location="'Host Community Employment'!A1" display="ESG Data – Host community employment," xr:uid="{0294B8FB-61C3-3040-9D7E-470109D74C20}"/>
    <hyperlink ref="C765" location="'Host Community Procurement'!A1" display="ESG Data – Host community procurement" xr:uid="{17FA8E9E-A663-A343-8308-C57948C311D5}"/>
    <hyperlink ref="C766" location="'Host Community Value Creation'!A1" display="ESG Data – Host community value creation" xr:uid="{EC16AEE3-B087-6141-A256-47ACEFFEE069}"/>
    <hyperlink ref="C767" location="'Socio Economic Development $'!A1" display="ESG Data – Socio economic development" xr:uid="{0D725C57-A356-F146-A8E2-4A70D5079DE1}"/>
    <hyperlink ref="C768" location="'Community Grievances'!A1" display="ESG Data – Community grievances" xr:uid="{BF6A276B-3B85-3E44-A5F4-B1A798206119}"/>
    <hyperlink ref="C769" location="'Education Skills and Capacity '!A1" display="ESG Data – Education and Skills Capacity" xr:uid="{194532FA-E9E6-614A-A9B3-462A1B9F7CF3}"/>
    <hyperlink ref="C770" location="'Stakeholder Engagement'!A1" display="ESG Data – Stakeholder Engagement" xr:uid="{CA64A21C-3321-7B42-A48F-1D0CA25C5324}"/>
    <hyperlink ref="C775" location="'Environment &amp; Compliance'!A1" display="ESG Data – Environment" xr:uid="{89E9F1B5-1B40-4647-A6D6-404C070128B8}"/>
    <hyperlink ref="C776" location="'Community Grievances'!A1" display="ESG Data – Community grievances" xr:uid="{C9B61DAC-4DCC-D648-9A8B-E6A574216155}"/>
    <hyperlink ref="C781" location="'Environment &amp; Compliance'!A1" display="ESG Data – Environment" xr:uid="{440DEB4B-379A-6842-B27F-948C48AACF07}"/>
    <hyperlink ref="C782" location="'Community Grievances'!A1" display="ESG Data – Community grievances" xr:uid="{289A53B4-B672-B541-91D3-B6D92B2813E1}"/>
    <hyperlink ref="C790" location="'Environment &amp; Compliance'!A1" display="ESG Data – Environment" xr:uid="{6E3BFD68-4ED0-6E49-979B-3B4235D96121}"/>
    <hyperlink ref="C791" location="'Community Grievances'!A1" display="ESG Data – Community grievances" xr:uid="{4D5E3FAD-8DB7-3E44-8875-917ABC10DE29}"/>
    <hyperlink ref="C837" location="'Policy Influence'!A1" display="ESG Data – Policy Influence" xr:uid="{5EF46126-3D00-FC4E-A40A-C6E2D7DC4FA6}"/>
    <hyperlink ref="A8" r:id="rId345" xr:uid="{571F6F2C-76D6-EF47-87C3-13507E143474}"/>
    <hyperlink ref="A10" r:id="rId346" xr:uid="{5D9D16AC-DA88-BF47-B674-3DAB95B9647A}"/>
    <hyperlink ref="A12" r:id="rId347" xr:uid="{B2446F92-251F-1440-9D3A-3B0275413185}"/>
    <hyperlink ref="A14" r:id="rId348" xr:uid="{22D425F5-D3FE-3E45-8F6C-0A3155B40CC6}"/>
    <hyperlink ref="A16" r:id="rId349" xr:uid="{BC27E791-22BE-8945-AC79-474FDE42B014}"/>
    <hyperlink ref="A18" r:id="rId350" xr:uid="{738F962D-325A-5544-93D0-EA060F2A6310}"/>
    <hyperlink ref="C85" r:id="rId351" xr:uid="{2D83072E-4AB3-534B-8938-C8991AF7C410}"/>
    <hyperlink ref="C114" r:id="rId352" xr:uid="{F0C29224-2AC4-1241-B8FB-13545A1EEFB6}"/>
    <hyperlink ref="C61" r:id="rId353" xr:uid="{2E38AE5C-785C-B045-85F8-575AD5EBFB4E}"/>
    <hyperlink ref="C812" r:id="rId354" xr:uid="{B1AC2D26-CA35-8440-BBAD-FAE3AF661001}"/>
    <hyperlink ref="C813" r:id="rId355" xr:uid="{0C6ABFB6-6E57-D945-BF68-EABDE4066FEC}"/>
    <hyperlink ref="C819" r:id="rId356" xr:uid="{1B0B0A20-2808-D541-B8F5-9A7DCCECD54D}"/>
    <hyperlink ref="C566" r:id="rId357" xr:uid="{F269D8C5-4F50-4342-88FE-58CAD4454F37}"/>
    <hyperlink ref="C567" r:id="rId358" xr:uid="{C7EE9F7A-F6AF-5347-B6AE-A935FAAF91CF}"/>
    <hyperlink ref="C564" r:id="rId359" xr:uid="{794704C0-7E01-B04D-93CE-895467967942}"/>
    <hyperlink ref="C565" r:id="rId360" xr:uid="{6322025A-54F6-A047-A084-AD7A18FEB7D9}"/>
    <hyperlink ref="C758" r:id="rId361" tooltip="https://us-west-2.protection.sophos.com/?d=goldfields.com&amp;u=aHR0cHM6Ly93d3cuZ29sZGZpZWxkcy5jb20vcGRmL2Fib3V0LXVzL2NvcnBvcmF0ZS1nb3Zlcm5hbmNlL3BvbGljaWVzLzIwMjQvZ2ZsLXBvbGljeS1jb21tdW5pdHkucGRm&amp;p=m&amp;i=NjJlOTdiODg4NzYxZjgxMTViOGRlMDY0&amp;t=NzdTeFBHcU1tNnNPcE9KR" display="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xr:uid="{003043EE-C6ED-7D45-875B-9E165C72D177}"/>
    <hyperlink ref="C759" r:id="rId362" tooltip="https://us-west-2.protection.sophos.com/?d=goldfields.com&amp;u=aHR0cHM6Ly93d3cuZ29sZGZpZWxkcy5jb20vcGRmL2Fib3V0LXVzL2NvcnBvcmF0ZS1nb3Zlcm5hbmNlL3BvbGljaWVzLzIwMjQvZ2ZsLXBvbGljeS1odW1hbi1yaWdodHMucGRm&amp;p=m&amp;i=NjJlOTdiODg4NzYxZjgxMTViOGRlMDY0&amp;t=YWJENzdjbDhBZ1NIV" display="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xr:uid="{D9A03317-60FB-074B-A980-CD3FBE37ECA7}"/>
    <hyperlink ref="C761" r:id="rId363" tooltip="https://us-west-2.protection.sophos.com/?d=goldfields.com&amp;u=aHR0cHM6Ly93d3cuZ29sZGZpZWxkcy5jb20vcGRmL2Fib3V0LXVzL2NvcnBvcmF0ZS1nb3Zlcm5hbmNlL3BvbGljaWVzLzIwMjQvZ2ZsLXBvbGljeS1tYXRlcmlhbHMtc3VwcGx5LWNoYWluLXN0ZXdhcmRzaGlwLnBkZg==&amp;p=m&amp;i=NjJlOTdiODg4NzYxZjgx" display="https://us-west-2.protection.sophos.com/?d=goldfields.com&amp;u=aHR0cHM6Ly93d3cuZ29sZGZpZWxkcy5jb20vcGRmL2Fib3V0LXVzL2NvcnBvcmF0ZS1nb3Zlcm5hbmNlL3BvbGljaWVzLzIwMjQvZ2ZsLXBvbGljeS1tYXRlcmlhbHMtc3VwcGx5LWNoYWluLXN0ZXdhcmRzaGlwLnBkZg==&amp;p=m&amp;i=NjJlOTdiODg4NzYxZjgxMTViOGRlMDY0&amp;t=N0lWSkg4bXVrRGR3MzdrL0dhMCsway9nekJCVnludzF5T0xhdHB2TnBQcz0=&amp;h=dc6aec071d944bef89248a9657962175&amp;s=AVNPUEhUT0NFTkNSWVBUSVYbRGZ7Vt_I2OjXtFPvyyIk8l95d25osPCz0vxT0xWWnQ" xr:uid="{011E9CAD-5600-BF4A-A9C5-F694980787F8}"/>
    <hyperlink ref="C762" r:id="rId364" tooltip="https://us-west-2.protection.sophos.com/?d=goldfields.com&amp;u=aHR0cHM6Ly93d3cuZ29sZGZpZWxkcy5jb20vcGRmL2Fib3V0LXVzL2NvcnBvcmF0ZS1nb3Zlcm5hbmNlL3BvbGljaWVzLzIwMjQvZ2ZsLXBvbGljeS1jbGltYXRlLWNoYW5nZS5wZGY=&amp;p=m&amp;i=NjJlOTdiODg4NzYxZjgxMTViOGRlMDY0&amp;t=eWRQc01GQThZS" display="https://us-west-2.protection.sophos.com/?d=goldfields.com&amp;u=aHR0cHM6Ly93d3cuZ29sZGZpZWxkcy5jb20vcGRmL2Fib3V0LXVzL2NvcnBvcmF0ZS1nb3Zlcm5hbmNlL3BvbGljaWVzLzIwMjQvZ2ZsLXBvbGljeS1jbGltYXRlLWNoYW5nZS5wZGY=&amp;p=m&amp;i=NjJlOTdiODg4NzYxZjgxMTViOGRlMDY0&amp;t=eWRQc01GQThZSkg5SjlRVDZ1aTk0NEEzS1FveTVCWDA3ZWl1MXRrb3JhRT0=&amp;h=dc6aec071d944bef89248a9657962175&amp;s=AVNPUEhUT0NFTkNSWVBUSVYbRGZ7Vt_I2OjXtFPvyyIk8l95d25osPCz0vxT0xWWnQ" xr:uid="{34101D8F-C314-A241-BDF0-51A71958F581}"/>
    <hyperlink ref="C222" r:id="rId365" tooltip="https://us-west-2.protection.sophos.com/?d=goldfields.com&amp;u=aHR0cHM6Ly93d3cuZ29sZGZpZWxkcy5jb20vcGRmL2Fib3V0LXVzL2NvcnBvcmF0ZS1nb3Zlcm5hbmNlL3BvbGljaWVzLzIwMjQvZ2ZsLXBvbGljeS1zdGFrZWhvbGRlci1yZWxhdGlvbnNoaXAucGRm&amp;p=m&amp;i=NjJlOTdiODg4NzYxZjgxMTViOGRlMDY0&amp;t=e" display="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dc6aec071d944bef89248a9657962175&amp;s=AVNPUEhUT0NFTkNSWVBUSVYbRGZ7Vt_I2OjXtFPvyyIk8l95d25osPCz0vxT0xWWnQ" xr:uid="{4889F541-536F-C34D-84BF-817B3C7226B8}"/>
    <hyperlink ref="C290" r:id="rId366" tooltip="https://us-west-2.protection.sophos.com/?d=goldfields.com&amp;u=aHR0cHM6Ly93d3cuZ29sZGZpZWxkcy5jb20vcGRmL2Fib3V0LXVzL2NvcnBvcmF0ZS1nb3Zlcm5hbmNlL3BvbGljaWVzLzIwMjQvZ2ZsLXBvbGljeS1zdGFrZWhvbGRlci1yZWxhdGlvbnNoaXAucGRm&amp;p=m&amp;i=NjJlOTdiODg4NzYxZjgxMTViOGRlMDY0&amp;t=e" display="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dc6aec071d944bef89248a9657962175&amp;s=AVNPUEhUT0NFTkNSWVBUSVYbRGZ7Vt_I2OjXtFPvyyIk8l95d25osPCz0vxT0xWWnQ" xr:uid="{BCE9EDA4-D342-7742-A267-A785E9DC8F9D}"/>
    <hyperlink ref="C291" r:id="rId367" tooltip="https://us-west-2.protection.sophos.com/?d=goldfields.com&amp;u=aHR0cHM6Ly93d3cuZ29sZGZpZWxkcy5jb20vcGRmL2Fib3V0LXVzL2NvcnBvcmF0ZS1nb3Zlcm5hbmNlL3BvbGljaWVzLzIwMjQvZ2ZsLXBvbGljeS1jb21tdW5pdHkucGRm&amp;p=m&amp;i=NjJlOTdiODg4NzYxZjgxMTViOGRlMDY0&amp;t=NzdTeFBHcU1tNnNPcE9KR" display="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xr:uid="{39581FE8-E6F3-F543-BEEA-C6D62CF0AE1C}"/>
    <hyperlink ref="C292" r:id="rId368" tooltip="https://us-west-2.protection.sophos.com/?d=goldfields.com&amp;u=aHR0cHM6Ly93d3cuZ29sZGZpZWxkcy5jb20vcGRmL2Fib3V0LXVzL2NvcnBvcmF0ZS1nb3Zlcm5hbmNlL3BvbGljaWVzLzIwMjQvZ2ZsLXBvbGljeS1odW1hbi1yaWdodHMucGRm&amp;p=m&amp;i=NjJlOTdiODg4NzYxZjgxMTViOGRlMDY0&amp;t=YWJENzdjbDhBZ1NIV" display="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xr:uid="{412CCCAD-76BF-9042-92C8-E0898B144676}"/>
    <hyperlink ref="C319" r:id="rId369" tooltip="https://us-west-2.protection.sophos.com/?d=goldfields.com&amp;u=aHR0cHM6Ly93d3cuZ29sZGZpZWxkcy5jb20vcGRmL2Fib3V0LXVzL2NvcnBvcmF0ZS1nb3Zlcm5hbmNlL3BvbGljaWVzLzIwMjQvZ2ZsLXBvbGljeS1jb21tdW5pdHkucGRm&amp;p=m&amp;i=NjJlOTdiODg4NzYxZjgxMTViOGRlMDY0&amp;t=NzdTeFBHcU1tNnNPcE9KR" display="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xr:uid="{BF3E1E86-F673-0545-8858-290119860CFF}"/>
    <hyperlink ref="C320" r:id="rId370" tooltip="https://us-west-2.protection.sophos.com/?d=goldfields.com&amp;u=aHR0cHM6Ly93d3cuZ29sZGZpZWxkcy5jb20vcGRmL2Fib3V0LXVzL2NvcnBvcmF0ZS1nb3Zlcm5hbmNlL3BvbGljaWVzLzIwMjQvZ2ZsLXBvbGljeS1odW1hbi1yaWdodHMucGRm&amp;p=m&amp;i=NjJlOTdiODg4NzYxZjgxMTViOGRlMDY0&amp;t=YWJENzdjbDhBZ1NIV" display="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xr:uid="{44DD565D-429C-F642-8E19-417AE69208D8}"/>
    <hyperlink ref="C659" r:id="rId371" tooltip="https://us-west-2.protection.sophos.com/?d=goldfields.com&amp;u=aHR0cHM6Ly93d3cuZ29sZGZpZWxkcy5jb20vcGRmL2Fib3V0LXVzL2NvcnBvcmF0ZS1nb3Zlcm5hbmNlL3BvbGljaWVzLzIwMjQvZ2ZsLXBvbGljeS1odW1hbi1yaWdodHMucGRm&amp;p=m&amp;i=NjJlOTdiODg4NzYxZjgxMTViOGRlMDY0&amp;t=YWJENzdjbDhBZ1NIV" display="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xr:uid="{2769EB17-6F50-844A-AD1B-5807A94AF689}"/>
    <hyperlink ref="C669" r:id="rId372" tooltip="https://us-west-2.protection.sophos.com/?d=goldfields.com&amp;u=aHR0cHM6Ly93d3cuZ29sZGZpZWxkcy5jb20vcGRmL2Fib3V0LXVzL2NvcnBvcmF0ZS1nb3Zlcm5hbmNlL3BvbGljaWVzLzIwMjQvZ2ZsLXBvbGljeS1odW1hbi1yaWdodHMucGRm&amp;p=m&amp;i=NjJlOTdiODg4NzYxZjgxMTViOGRlMDY0&amp;t=YWJENzdjbDhBZ1NIV" display="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xr:uid="{847AD063-A484-CF41-B412-18D69FE48A59}"/>
    <hyperlink ref="C673" r:id="rId373" xr:uid="{ED9F6A91-86F3-084D-A193-C86020C05D92}"/>
    <hyperlink ref="C678" r:id="rId374" tooltip="https://us-west-2.protection.sophos.com/?d=goldfields.com&amp;u=aHR0cHM6Ly93d3cuZ29sZGZpZWxkcy5jb20vcGRmL2Fib3V0LXVzL2NvcnBvcmF0ZS1nb3Zlcm5hbmNlL3BvbGljaWVzLzIwMjQvZ2ZsLXBvbGljeS1odW1hbi1yaWdodHMucGRm&amp;p=m&amp;i=NjJlOTdiODg4NzYxZjgxMTViOGRlMDY0&amp;t=YWJENzdjbDhBZ1NIV" display="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xr:uid="{E84ADCB4-A5FA-094D-A419-3F3C390A6D61}"/>
    <hyperlink ref="C680" r:id="rId375" xr:uid="{DD2D0D79-5FCE-B149-9B77-5539DE1615CE}"/>
    <hyperlink ref="C693" r:id="rId376" tooltip="https://us-west-2.protection.sophos.com/?d=goldfields.com&amp;u=aHR0cHM6Ly93d3cuZ29sZGZpZWxkcy5jb20vcGRmL2Fib3V0LXVzL2NvcnBvcmF0ZS1nb3Zlcm5hbmNlL3BvbGljaWVzLzIwMjQvZ2ZsLXBvbGljeS1odW1hbi1yaWdodHMucGRm&amp;p=m&amp;i=NjJlOTdiODg4NzYxZjgxMTViOGRlMDY0&amp;t=YWJENzdjbDhBZ1NIV" display="https://us-west-2.protection.sophos.com/?d=goldfields.com&amp;u=aHR0cHM6Ly93d3cuZ29sZGZpZWxkcy5jb20vcGRmL2Fib3V0LXVzL2NvcnBvcmF0ZS1nb3Zlcm5hbmNlL3BvbGljaWVzLzIwMjQvZ2ZsLXBvbGljeS1odW1hbi1yaWdodHMucGRm&amp;p=m&amp;i=NjJlOTdiODg4NzYxZjgxMTViOGRlMDY0&amp;t=YWJENzdjbDhBZ1NIVnh4SGJlYlRZQWpSL2NPVEFHYjVtUy9QWUNTQW15WT0=&amp;h=dc6aec071d944bef89248a9657962175&amp;s=AVNPUEhUT0NFTkNSWVBUSVYbRGZ7Vt_I2OjXtFPvyyIk8l95d25osPCz0vxT0xWWnQ" xr:uid="{2F92BFF7-1000-4C41-9818-FB3A5DA18A68}"/>
    <hyperlink ref="C695" r:id="rId377" xr:uid="{4477D31A-1BCE-6540-BD87-49234B3F86A5}"/>
    <hyperlink ref="C722" r:id="rId378" tooltip="https://us-west-2.protection.sophos.com/?d=goldfields.com&amp;u=aHR0cHM6Ly93d3cuZ29sZGZpZWxkcy5jb20vcGRmL2Fib3V0LXVzL2NvcnBvcmF0ZS1nb3Zlcm5hbmNlL3BvbGljaWVzLzIwMjQvZ2ZsLXBvbGljeS1jb21tdW5pdHkucGRm&amp;p=m&amp;i=NjJlOTdiODg4NzYxZjgxMTViOGRlMDY0&amp;t=NzdTeFBHcU1tNnNPcE9KR" display="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xr:uid="{56845E79-5D6B-7C4B-9139-59569B14F315}"/>
    <hyperlink ref="C725" r:id="rId379" tooltip="https://us-west-2.protection.sophos.com/?d=goldfields.com&amp;u=aHR0cHM6Ly93d3cuZ29sZGZpZWxkcy5jb20vcGRmL2Fib3V0LXVzL2NvcnBvcmF0ZS1nb3Zlcm5hbmNlL3BvbGljaWVzLzIwMjQvZ2ZsLXBvbGljeS1zdGFrZWhvbGRlci1yZWxhdGlvbnNoaXAucGRm&amp;p=m&amp;i=NjJlOTdiODg4NzYxZjgxMTViOGRlMDY0&amp;t=e" display="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dc6aec071d944bef89248a9657962175&amp;s=AVNPUEhUT0NFTkNSWVBUSVYbRGZ7Vt_I2OjXtFPvyyIk8l95d25osPCz0vxT0xWWnQ" xr:uid="{A160A9D7-28E5-BD49-982A-18BAD7EBFBAB}"/>
    <hyperlink ref="C726" r:id="rId380" xr:uid="{90E5ED0B-6756-7E4E-83FA-E52CAE58E93B}"/>
    <hyperlink ref="C741" r:id="rId381" tooltip="https://us-west-2.protection.sophos.com/?d=goldfields.com&amp;u=aHR0cHM6Ly93d3cuZ29sZGZpZWxkcy5jb20vcGRmL2Fib3V0LXVzL2NvcnBvcmF0ZS1nb3Zlcm5hbmNlL3BvbGljaWVzLzIwMjQvZ2ZsLXBvbGljeS1jb21tdW5pdHkucGRm&amp;p=m&amp;i=NjJlOTdiODg4NzYxZjgxMTViOGRlMDY0&amp;t=NzdTeFBHcU1tNnNPcE9KR" display="https://us-west-2.protection.sophos.com/?d=goldfields.com&amp;u=aHR0cHM6Ly93d3cuZ29sZGZpZWxkcy5jb20vcGRmL2Fib3V0LXVzL2NvcnBvcmF0ZS1nb3Zlcm5hbmNlL3BvbGljaWVzLzIwMjQvZ2ZsLXBvbGljeS1jb21tdW5pdHkucGRm&amp;p=m&amp;i=NjJlOTdiODg4NzYxZjgxMTViOGRlMDY0&amp;t=NzdTeFBHcU1tNnNPcE9KRWZaY3dwOGkyY3pJWWYyRFNmN2EyWGNSR0ZQTT0=&amp;h=dc6aec071d944bef89248a9657962175&amp;s=AVNPUEhUT0NFTkNSWVBUSVYbRGZ7Vt_I2OjXtFPvyyIk8l95d25osPCz0vxT0xWWnQ" xr:uid="{C1E5D77D-1865-1A4E-B314-64F3AA521E92}"/>
    <hyperlink ref="C744" r:id="rId382" tooltip="https://us-west-2.protection.sophos.com/?d=goldfields.com&amp;u=aHR0cHM6Ly93d3cuZ29sZGZpZWxkcy5jb20vcGRmL2Fib3V0LXVzL2NvcnBvcmF0ZS1nb3Zlcm5hbmNlL3BvbGljaWVzLzIwMjQvZ2ZsLXBvbGljeS1zdGFrZWhvbGRlci1yZWxhdGlvbnNoaXAucGRm&amp;p=m&amp;i=NjJlOTdiODg4NzYxZjgxMTViOGRlMDY0&amp;t=e" display="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dc6aec071d944bef89248a9657962175&amp;s=AVNPUEhUT0NFTkNSWVBUSVYbRGZ7Vt_I2OjXtFPvyyIk8l95d25osPCz0vxT0xWWnQ" xr:uid="{BCBD3E17-9492-D249-9612-9ED7C0754EB0}"/>
    <hyperlink ref="C745" r:id="rId383" xr:uid="{7FA29881-2BED-4443-B926-911A0B2BD64C}"/>
    <hyperlink ref="C757" r:id="rId384" display="https://www.goldfields.com/pdf/about-us/corporategovernance/policies/stakeholder-relationship-andengagement-policy-statement-august-2021.pdf" xr:uid="{3D0CBF96-DA24-4D48-B412-5CD0ED9DB22F}"/>
    <hyperlink ref="C248" r:id="rId385" tooltip="https://us-west-2.protection.sophos.com/?d=goldfields.com&amp;u=aHR0cHM6Ly93d3cuZ29sZGZpZWxkcy5jb20vcGRmL2Fib3V0LXVzL2NvcnBvcmF0ZS1nb3Zlcm5hbmNlL3BvbGljaWVzLzIwMjQvZ2ZsLXBvbGljeS1zdXN0YWluYWJsZS1kZXYucGRm&amp;p=m&amp;i=NjJlOTdiODg4NzYxZjgxMTViOGRlMDY0&amp;t=K0h1bkFqcE5kZ" display="https://us-west-2.protection.sophos.com/?d=goldfields.com&amp;u=aHR0cHM6Ly93d3cuZ29sZGZpZWxkcy5jb20vcGRmL2Fib3V0LXVzL2NvcnBvcmF0ZS1nb3Zlcm5hbmNlL3BvbGljaWVzLzIwMjQvZ2ZsLXBvbGljeS1zdXN0YWluYWJsZS1kZXYucGRm&amp;p=m&amp;i=NjJlOTdiODg4NzYxZjgxMTViOGRlMDY0&amp;t=K0h1bkFqcE5kZ2tONGJHWHFFcE9mcngvU2ExanU2OWh3QjcxU2xnNmFXTT0=&amp;h=7184ef4bef6c4523961593f41db74f40&amp;s=AVNPUEhUT0NFTkNSWVBUSVYbRGZ7Vt_I2OjXtFPvyyIk8l95d25osPCz0vxT0xWWnQ" xr:uid="{1ACECD6B-191D-F848-8912-51614A1A60E1}"/>
    <hyperlink ref="C318" r:id="rId386" tooltip="https://us-west-2.protection.sophos.com/?d=goldfields.com&amp;u=aHR0cHM6Ly93d3cuZ29sZGZpZWxkcy5jb20vcGRmL2Fib3V0LXVzL2NvcnBvcmF0ZS1nb3Zlcm5hbmNlL3BvbGljaWVzLzIwMjQvZ2ZsLXBvbGljeS1zdGFrZWhvbGRlci1yZWxhdGlvbnNoaXAucGRm&amp;p=m&amp;i=NjJlOTdiODg4NzYxZjgxMTViOGRlMDY0&amp;t=e" display="https://us-west-2.protection.sophos.com/?d=goldfields.com&amp;u=aHR0cHM6Ly93d3cuZ29sZGZpZWxkcy5jb20vcGRmL2Fib3V0LXVzL2NvcnBvcmF0ZS1nb3Zlcm5hbmNlL3BvbGljaWVzLzIwMjQvZ2ZsLXBvbGljeS1zdGFrZWhvbGRlci1yZWxhdGlvbnNoaXAucGRm&amp;p=m&amp;i=NjJlOTdiODg4NzYxZjgxMTViOGRlMDY0&amp;t=elpmKys5U3dpSHJXSE9yUTdpS1RXV1ZQWmkvcVJVaTdsUGF2R2JZVnc2TT0=&amp;h=7184ef4bef6c4523961593f41db74f40&amp;s=AVNPUEhUT0NFTkNSWVBUSVYbRGZ7Vt_I2OjXtFPvyyIk8l95d25osPCz0vxT0xWWnQ" xr:uid="{9EB66442-419C-6C41-A540-A507777723D5}"/>
    <hyperlink ref="C541" r:id="rId387" tooltip="https://us-west-2.protection.sophos.com/?d=goldfields.com&amp;u=aHR0cHM6Ly93d3cuZ29sZGZpZWxkcy5jb20vd2FzdGUtbWFuYWdlbWVudC5waHA=&amp;p=m&amp;i=NjJlOTdiODg4NzYxZjgxMTViOGRlMDY0&amp;t=WnBWWmJDOG9zbGg2WTVqUmJCYTdZQzNDTDVzV1Q5dlhCSTNqTE1QeVZGVT0=&amp;h=7184ef4bef6c4523961593f41d" display="https://us-west-2.protection.sophos.com/?d=goldfields.com&amp;u=aHR0cHM6Ly93d3cuZ29sZGZpZWxkcy5jb20vd2FzdGUtbWFuYWdlbWVudC5waHA=&amp;p=m&amp;i=NjJlOTdiODg4NzYxZjgxMTViOGRlMDY0&amp;t=WnBWWmJDOG9zbGg2WTVqUmJCYTdZQzNDTDVzV1Q5dlhCSTNqTE1QeVZGVT0=&amp;h=7184ef4bef6c4523961593f41db74f40&amp;s=AVNPUEhUT0NFTkNSWVBUSVYbRGZ7Vt_I2OjXtFPvyyIk8l95d25osPCz0vxT0xWWnQ" xr:uid="{67BE1126-66C3-4845-9F95-FA939C2F4A5E}"/>
    <hyperlink ref="C548" r:id="rId388" tooltip="https://us-west-2.protection.sophos.com/?d=goldfields.com&amp;u=aHR0cHM6Ly93d3cuZ29sZGZpZWxkcy5jb20vd2FzdGUtbWFuYWdlbWVudC5waHA=&amp;p=m&amp;i=NjJlOTdiODg4NzYxZjgxMTViOGRlMDY0&amp;t=WnBWWmJDOG9zbGg2WTVqUmJCYTdZQzNDTDVzV1Q5dlhCSTNqTE1QeVZGVT0=&amp;h=7184ef4bef6c4523961593f41d" display="https://us-west-2.protection.sophos.com/?d=goldfields.com&amp;u=aHR0cHM6Ly93d3cuZ29sZGZpZWxkcy5jb20vd2FzdGUtbWFuYWdlbWVudC5waHA=&amp;p=m&amp;i=NjJlOTdiODg4NzYxZjgxMTViOGRlMDY0&amp;t=WnBWWmJDOG9zbGg2WTVqUmJCYTdZQzNDTDVzV1Q5dlhCSTNqTE1QeVZGVT0=&amp;h=7184ef4bef6c4523961593f41db74f40&amp;s=AVNPUEhUT0NFTkNSWVBUSVYbRGZ7Vt_I2OjXtFPvyyIk8l95d25osPCz0vxT0xWWnQ" xr:uid="{F9474EBA-E668-3B48-A80F-5E67143EA68A}"/>
    <hyperlink ref="C551" r:id="rId389" tooltip="https://us-west-2.protection.sophos.com/?d=goldfields.com&amp;u=aHR0cHM6Ly93d3cuZ29sZGZpZWxkcy5jb20vd2FzdGUtbWFuYWdlbWVudC5waHA=&amp;p=m&amp;i=NjJlOTdiODg4NzYxZjgxMTViOGRlMDY0&amp;t=WnBWWmJDOG9zbGg2WTVqUmJCYTdZQzNDTDVzV1Q5dlhCSTNqTE1QeVZGVT0=&amp;h=7184ef4bef6c4523961593f41d" display="https://us-west-2.protection.sophos.com/?d=goldfields.com&amp;u=aHR0cHM6Ly93d3cuZ29sZGZpZWxkcy5jb20vd2FzdGUtbWFuYWdlbWVudC5waHA=&amp;p=m&amp;i=NjJlOTdiODg4NzYxZjgxMTViOGRlMDY0&amp;t=WnBWWmJDOG9zbGg2WTVqUmJCYTdZQzNDTDVzV1Q5dlhCSTNqTE1QeVZGVT0=&amp;h=7184ef4bef6c4523961593f41db74f40&amp;s=AVNPUEhUT0NFTkNSWVBUSVYbRGZ7Vt_I2OjXtFPvyyIk8l95d25osPCz0vxT0xWWnQ" xr:uid="{C87E1A7F-16FC-074B-8D1C-9B36F831968E}"/>
    <hyperlink ref="C638" r:id="rId390" tooltip="https://us-west-2.protection.sophos.com/?d=goldfields.com&amp;u=aHR0cHM6Ly93d3cuZ29sZGZpZWxkcy5jb20vcGRmL2Fib3V0LXVzL2NvcnBvcmF0ZS1nb3Zlcm5hbmNlL3BvbGljaWVzLzIwMjMvZGl2ZXJzaXR5LWVxdWl0eS1pbmNsdXNpb24tYW5kLWJlbG9uZ2luZy1wb2xpY3ktc3RhdGVtZW50LnBkZg==&amp;p=m&amp;i=NjJl" display="https://us-west-2.protection.sophos.com/?d=goldfields.com&amp;u=aHR0cHM6Ly93d3cuZ29sZGZpZWxkcy5jb20vcGRmL2Fib3V0LXVzL2NvcnBvcmF0ZS1nb3Zlcm5hbmNlL3BvbGljaWVzLzIwMjMvZGl2ZXJzaXR5LWVxdWl0eS1pbmNsdXNpb24tYW5kLWJlbG9uZ2luZy1wb2xpY3ktc3RhdGVtZW50LnBkZg==&amp;p=m&amp;i=NjJlOTdiODg4NzYxZjgxMTViOGRlMDY0&amp;t=SjV6U0N0WVhTQlc3RE15ZEgvTEVIZ0QyV2ErK1JZQ2lJTWZCbnNtOFNRbz0=&amp;h=f46f3eeb01714a849b5147fef008063f&amp;s=AVNPUEhUT0NFTkNSWVBUSVYbRGZ7Vt_I2OjXtFPvyyIk8l95d25osPCz0vxT0xWWnQ" xr:uid="{7CAF4703-7F2A-A24F-B6C0-9F4E80B3F5D1}"/>
    <hyperlink ref="C646" r:id="rId391" tooltip="https://us-west-2.protection.sophos.com/?d=goldfields.com&amp;u=aHR0cHM6Ly93d3cuZ29sZGZpZWxkcy5jb20vcGRmL2Fib3V0LXVzL2NvcnBvcmF0ZS1nb3Zlcm5hbmNlL3BvbGljaWVzLzIwMjMvZGl2ZXJzaXR5LWVxdWl0eS1pbmNsdXNpb24tYW5kLWJlbG9uZ2luZy1wb2xpY3ktc3RhdGVtZW50LnBkZg==&amp;p=m&amp;i=NjJl" display="https://us-west-2.protection.sophos.com/?d=goldfields.com&amp;u=aHR0cHM6Ly93d3cuZ29sZGZpZWxkcy5jb20vcGRmL2Fib3V0LXVzL2NvcnBvcmF0ZS1nb3Zlcm5hbmNlL3BvbGljaWVzLzIwMjMvZGl2ZXJzaXR5LWVxdWl0eS1pbmNsdXNpb24tYW5kLWJlbG9uZ2luZy1wb2xpY3ktc3RhdGVtZW50LnBkZg==&amp;p=m&amp;i=NjJlOTdiODg4NzYxZjgxMTViOGRlMDY0&amp;t=SjV6U0N0WVhTQlc3RE15ZEgvTEVIZ0QyV2ErK1JZQ2lJTWZCbnNtOFNRbz0=&amp;h=f46f3eeb01714a849b5147fef008063f&amp;s=AVNPUEhUT0NFTkNSWVBUSVYbRGZ7Vt_I2OjXtFPvyyIk8l95d25osPCz0vxT0xWWnQ" xr:uid="{A94D5077-AF10-5845-8B2D-E17B179000DE}"/>
    <hyperlink ref="C660" r:id="rId392" tooltip="https://us-west-2.protection.sophos.com/?d=goldfields.com&amp;u=aHR0cHM6Ly93d3cuZ29sZGZpZWxkcy5jb20vcGRmL2Fib3V0LXVzL2NvcnBvcmF0ZS1nb3Zlcm5hbmNlL3BvbGljaWVzLzIwMjMvZGl2ZXJzaXR5LWVxdWl0eS1pbmNsdXNpb24tYW5kLWJlbG9uZ2luZy1wb2xpY3ktc3RhdGVtZW50LnBkZg==&amp;p=m&amp;i=NjJl" display="https://us-west-2.protection.sophos.com/?d=goldfields.com&amp;u=aHR0cHM6Ly93d3cuZ29sZGZpZWxkcy5jb20vcGRmL2Fib3V0LXVzL2NvcnBvcmF0ZS1nb3Zlcm5hbmNlL3BvbGljaWVzLzIwMjMvZGl2ZXJzaXR5LWVxdWl0eS1pbmNsdXNpb24tYW5kLWJlbG9uZ2luZy1wb2xpY3ktc3RhdGVtZW50LnBkZg==&amp;p=m&amp;i=NjJlOTdiODg4NzYxZjgxMTViOGRlMDY0&amp;t=SjV6U0N0WVhTQlc3RE15ZEgvTEVIZ0QyV2ErK1JZQ2lJTWZCbnNtOFNRbz0=&amp;h=f46f3eeb01714a849b5147fef008063f&amp;s=AVNPUEhUT0NFTkNSWVBUSVYbRGZ7Vt_I2OjXtFPvyyIk8l95d25osPCz0vxT0xWWnQ" xr:uid="{A1CF3058-409A-2340-B0CF-EECEA2AA6C53}"/>
  </hyperlinks>
  <pageMargins left="0.75" right="0.75" top="1" bottom="1" header="0.5" footer="0.5"/>
  <drawing r:id="rId39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D50"/>
  <sheetViews>
    <sheetView showGridLines="0" showRuler="0" workbookViewId="0"/>
  </sheetViews>
  <sheetFormatPr baseColWidth="10" defaultColWidth="9" defaultRowHeight="13"/>
  <cols>
    <col min="1" max="1" width="55.1640625" customWidth="1"/>
    <col min="2" max="2" width="14.1640625" customWidth="1"/>
    <col min="3" max="3" width="14" customWidth="1"/>
    <col min="4" max="4" width="16.83203125" customWidth="1"/>
    <col min="5" max="9" width="14.33203125" customWidth="1"/>
    <col min="10" max="10" width="0" hidden="1"/>
    <col min="11" max="11" width="1.33203125" customWidth="1"/>
    <col min="12" max="18" width="9" customWidth="1"/>
    <col min="19" max="19" width="10" customWidth="1"/>
    <col min="20" max="20" width="9" customWidth="1"/>
  </cols>
  <sheetData>
    <row r="1" spans="1:10" ht="21.75" customHeight="1">
      <c r="A1" s="134" t="s">
        <v>1153</v>
      </c>
      <c r="B1" s="177"/>
      <c r="C1" s="177"/>
      <c r="D1" s="177"/>
      <c r="E1" s="177"/>
      <c r="F1" s="177"/>
      <c r="G1" s="177"/>
      <c r="H1" s="177"/>
      <c r="J1" s="134"/>
    </row>
    <row r="2" spans="1:10" ht="31.75" customHeight="1">
      <c r="A2" s="134" t="s">
        <v>1154</v>
      </c>
      <c r="B2" s="177" t="s">
        <v>1155</v>
      </c>
      <c r="C2" s="177" t="s">
        <v>1156</v>
      </c>
      <c r="D2" s="177"/>
      <c r="E2" s="177"/>
      <c r="F2" s="177"/>
      <c r="G2" s="177"/>
      <c r="H2" s="177"/>
      <c r="J2" s="134"/>
    </row>
    <row r="3" spans="1:10" ht="21.75" customHeight="1"/>
    <row r="4" spans="1:10" ht="21.75" customHeight="1">
      <c r="A4" s="258" t="s">
        <v>1157</v>
      </c>
      <c r="B4" s="67">
        <v>2023</v>
      </c>
      <c r="C4" s="67">
        <v>2023</v>
      </c>
      <c r="D4" s="67">
        <v>2022</v>
      </c>
      <c r="E4" s="67">
        <v>2021</v>
      </c>
      <c r="F4" s="67">
        <v>2020</v>
      </c>
      <c r="G4" s="67">
        <v>2019</v>
      </c>
      <c r="H4" s="67">
        <v>2018</v>
      </c>
      <c r="J4" s="67">
        <v>2015</v>
      </c>
    </row>
    <row r="5" spans="1:10" ht="21.75" customHeight="1">
      <c r="A5" s="45" t="s">
        <v>1158</v>
      </c>
      <c r="B5" s="370">
        <v>2</v>
      </c>
      <c r="C5" s="370">
        <v>2</v>
      </c>
      <c r="D5" s="254">
        <v>1</v>
      </c>
      <c r="E5" s="255">
        <v>1</v>
      </c>
      <c r="F5" s="255">
        <v>1</v>
      </c>
      <c r="G5" s="128">
        <v>1</v>
      </c>
      <c r="H5" s="255">
        <v>1</v>
      </c>
      <c r="J5" s="254">
        <v>4</v>
      </c>
    </row>
    <row r="6" spans="1:10" ht="21.75" customHeight="1">
      <c r="A6" s="19" t="s">
        <v>1159</v>
      </c>
      <c r="B6" s="69">
        <v>0</v>
      </c>
      <c r="C6" s="69">
        <v>0</v>
      </c>
      <c r="D6" s="69">
        <v>0</v>
      </c>
      <c r="E6" s="69">
        <v>1</v>
      </c>
      <c r="F6" s="69">
        <v>1</v>
      </c>
      <c r="G6" s="69">
        <v>1</v>
      </c>
      <c r="H6" s="69">
        <v>1</v>
      </c>
      <c r="J6" s="131"/>
    </row>
    <row r="7" spans="1:10" ht="21.75" customHeight="1">
      <c r="A7" s="25" t="s">
        <v>1160</v>
      </c>
      <c r="B7" s="36">
        <v>2</v>
      </c>
      <c r="C7" s="36">
        <v>2</v>
      </c>
      <c r="D7" s="36">
        <v>1</v>
      </c>
      <c r="E7" s="36">
        <v>0</v>
      </c>
      <c r="F7" s="36">
        <v>0</v>
      </c>
      <c r="G7" s="36">
        <v>0</v>
      </c>
      <c r="H7" s="36">
        <v>0</v>
      </c>
    </row>
    <row r="8" spans="1:10" ht="21.75" customHeight="1">
      <c r="A8" s="45" t="s">
        <v>1161</v>
      </c>
      <c r="B8" s="371">
        <v>0.05</v>
      </c>
      <c r="C8" s="371">
        <v>0.04</v>
      </c>
      <c r="D8" s="260">
        <v>0.02</v>
      </c>
      <c r="E8" s="259">
        <v>0.02</v>
      </c>
      <c r="F8" s="259">
        <v>0.02</v>
      </c>
      <c r="G8" s="260">
        <f t="shared" ref="G8:H10" si="0">G5/G34*1000000</f>
        <v>2.1096371685665076E-2</v>
      </c>
      <c r="H8" s="260">
        <f t="shared" si="0"/>
        <v>1.8450416153287682E-2</v>
      </c>
      <c r="J8" s="371">
        <f>J5/J34*1000000</f>
        <v>7.8126663243416702E-2</v>
      </c>
    </row>
    <row r="9" spans="1:10" ht="21.75" customHeight="1">
      <c r="A9" s="19" t="s">
        <v>1162</v>
      </c>
      <c r="B9" s="69">
        <v>0</v>
      </c>
      <c r="C9" s="69">
        <v>0</v>
      </c>
      <c r="D9" s="69">
        <v>0</v>
      </c>
      <c r="E9" s="261">
        <f>E6/E35*1000000</f>
        <v>6.7179517341367914E-2</v>
      </c>
      <c r="F9" s="261">
        <f>F6/F35*1000000</f>
        <v>6.47391679961664E-2</v>
      </c>
      <c r="G9" s="261">
        <f t="shared" si="0"/>
        <v>6.4234231925274013E-2</v>
      </c>
      <c r="H9" s="261">
        <f t="shared" si="0"/>
        <v>4.5143243801189337E-2</v>
      </c>
      <c r="J9" s="72">
        <v>0.08</v>
      </c>
    </row>
    <row r="10" spans="1:10" ht="21.75" customHeight="1">
      <c r="A10" s="25" t="s">
        <v>1163</v>
      </c>
      <c r="B10" s="257">
        <f>B7/B36*1000000</f>
        <v>6.3289264596466388E-2</v>
      </c>
      <c r="C10" s="257">
        <f>C7/C36*1000000</f>
        <v>5.6781200432043724E-2</v>
      </c>
      <c r="D10" s="250">
        <f>D7/D36*1000000</f>
        <v>2.7597776478279438E-2</v>
      </c>
      <c r="E10" s="250">
        <f>E7/E36*1000000</f>
        <v>0</v>
      </c>
      <c r="F10" s="250">
        <f>F7/F36*1000000</f>
        <v>0</v>
      </c>
      <c r="G10" s="250">
        <f t="shared" si="0"/>
        <v>0</v>
      </c>
      <c r="H10" s="250">
        <f t="shared" si="0"/>
        <v>0</v>
      </c>
      <c r="J10" s="250">
        <v>0</v>
      </c>
    </row>
    <row r="11" spans="1:10" ht="21.75" customHeight="1">
      <c r="A11" s="391"/>
      <c r="B11" s="372"/>
      <c r="C11" s="372"/>
      <c r="D11" s="372"/>
      <c r="E11" s="372"/>
      <c r="F11" s="372"/>
      <c r="G11" s="372"/>
      <c r="H11" s="372"/>
      <c r="J11" s="372" t="s">
        <v>625</v>
      </c>
    </row>
    <row r="12" spans="1:10" ht="21.75" customHeight="1">
      <c r="A12" s="45" t="s">
        <v>1164</v>
      </c>
      <c r="B12" s="254">
        <v>27</v>
      </c>
      <c r="C12" s="254">
        <v>27</v>
      </c>
      <c r="D12" s="255">
        <v>31</v>
      </c>
      <c r="E12" s="255">
        <v>30</v>
      </c>
      <c r="F12" s="255">
        <v>32</v>
      </c>
      <c r="G12" s="255">
        <v>38</v>
      </c>
      <c r="H12" s="255">
        <v>34</v>
      </c>
      <c r="J12" s="254">
        <v>68</v>
      </c>
    </row>
    <row r="13" spans="1:10" ht="21.75" customHeight="1">
      <c r="A13" s="19" t="s">
        <v>583</v>
      </c>
      <c r="B13" s="69">
        <v>13</v>
      </c>
      <c r="C13" s="69">
        <v>13</v>
      </c>
      <c r="D13" s="69">
        <v>10</v>
      </c>
      <c r="E13" s="69">
        <v>10</v>
      </c>
      <c r="F13" s="69">
        <v>14</v>
      </c>
      <c r="G13" s="69">
        <v>15</v>
      </c>
      <c r="H13" s="69">
        <v>16</v>
      </c>
      <c r="J13" s="131" t="s">
        <v>1165</v>
      </c>
    </row>
    <row r="14" spans="1:10" ht="21.75" customHeight="1">
      <c r="A14" s="25" t="s">
        <v>1166</v>
      </c>
      <c r="B14" s="36">
        <v>14</v>
      </c>
      <c r="C14" s="36">
        <v>14</v>
      </c>
      <c r="D14" s="36">
        <v>21</v>
      </c>
      <c r="E14" s="36">
        <v>20</v>
      </c>
      <c r="F14" s="36">
        <v>18</v>
      </c>
      <c r="G14" s="36">
        <v>23</v>
      </c>
      <c r="H14" s="36">
        <v>18</v>
      </c>
      <c r="J14" s="90" t="s">
        <v>1165</v>
      </c>
    </row>
    <row r="15" spans="1:10" ht="21.75" customHeight="1">
      <c r="A15" s="45" t="s">
        <v>1167</v>
      </c>
      <c r="B15" s="371">
        <v>0.62</v>
      </c>
      <c r="C15" s="373">
        <v>0.53</v>
      </c>
      <c r="D15" s="374">
        <v>0.6</v>
      </c>
      <c r="E15" s="375">
        <v>0.62</v>
      </c>
      <c r="F15" s="375">
        <v>0.72</v>
      </c>
      <c r="G15" s="374">
        <v>0.8</v>
      </c>
      <c r="H15" s="375">
        <v>0.63</v>
      </c>
      <c r="J15" s="249">
        <v>1.33</v>
      </c>
    </row>
    <row r="16" spans="1:10" ht="21.75" customHeight="1">
      <c r="A16" s="19" t="s">
        <v>1168</v>
      </c>
      <c r="B16" s="261">
        <f t="shared" ref="B16:E17" si="1">B13/B35*1000000</f>
        <v>1.1113424033121422</v>
      </c>
      <c r="C16" s="376">
        <f t="shared" si="1"/>
        <v>0.83850910874541107</v>
      </c>
      <c r="D16" s="376">
        <f t="shared" si="1"/>
        <v>0.63835838735733774</v>
      </c>
      <c r="E16" s="376">
        <f t="shared" si="1"/>
        <v>0.67179517341367923</v>
      </c>
      <c r="F16" s="377">
        <v>0.91</v>
      </c>
      <c r="G16" s="376">
        <v>0.96</v>
      </c>
      <c r="H16" s="376">
        <v>0.72</v>
      </c>
      <c r="J16" s="131" t="s">
        <v>625</v>
      </c>
    </row>
    <row r="17" spans="1:10" ht="21.75" customHeight="1">
      <c r="A17" s="25" t="s">
        <v>1169</v>
      </c>
      <c r="B17" s="250">
        <f t="shared" si="1"/>
        <v>0.44302485217526472</v>
      </c>
      <c r="C17" s="378">
        <f t="shared" si="1"/>
        <v>0.39746840302430603</v>
      </c>
      <c r="D17" s="378">
        <f t="shared" si="1"/>
        <v>0.57955330604386823</v>
      </c>
      <c r="E17" s="378">
        <f t="shared" si="1"/>
        <v>0.59309626751619016</v>
      </c>
      <c r="F17" s="378">
        <v>0.62</v>
      </c>
      <c r="G17" s="378">
        <v>0.72</v>
      </c>
      <c r="H17" s="379">
        <v>0.56000000000000005</v>
      </c>
      <c r="J17" s="90" t="s">
        <v>625</v>
      </c>
    </row>
    <row r="18" spans="1:10" ht="21.75" customHeight="1">
      <c r="A18" s="391"/>
      <c r="B18" s="372"/>
      <c r="C18" s="372"/>
      <c r="D18" s="372"/>
      <c r="E18" s="372"/>
      <c r="F18" s="372"/>
      <c r="G18" s="372"/>
      <c r="H18" s="372"/>
      <c r="J18" s="372"/>
    </row>
    <row r="19" spans="1:10" ht="21.75" customHeight="1">
      <c r="A19" s="45" t="s">
        <v>1170</v>
      </c>
      <c r="B19" s="254">
        <v>102</v>
      </c>
      <c r="C19" s="254">
        <v>102</v>
      </c>
      <c r="D19" s="255">
        <v>106</v>
      </c>
      <c r="E19" s="255">
        <v>105</v>
      </c>
      <c r="F19" s="255">
        <v>107</v>
      </c>
      <c r="G19" s="255">
        <v>104</v>
      </c>
      <c r="H19" s="255">
        <v>99</v>
      </c>
      <c r="J19" s="254">
        <v>174</v>
      </c>
    </row>
    <row r="20" spans="1:10" ht="21.75" customHeight="1">
      <c r="A20" s="19" t="s">
        <v>583</v>
      </c>
      <c r="B20" s="69">
        <v>43</v>
      </c>
      <c r="C20" s="69">
        <v>43</v>
      </c>
      <c r="D20" s="69">
        <v>32</v>
      </c>
      <c r="E20" s="69">
        <v>35</v>
      </c>
      <c r="F20" s="69">
        <v>45</v>
      </c>
      <c r="G20" s="69">
        <v>44</v>
      </c>
      <c r="H20" s="69">
        <v>43</v>
      </c>
      <c r="J20" s="131" t="s">
        <v>625</v>
      </c>
    </row>
    <row r="21" spans="1:10" ht="21.75" customHeight="1">
      <c r="A21" s="25" t="s">
        <v>1166</v>
      </c>
      <c r="B21" s="36">
        <v>59</v>
      </c>
      <c r="C21" s="36">
        <v>59</v>
      </c>
      <c r="D21" s="36">
        <v>74</v>
      </c>
      <c r="E21" s="36">
        <v>70</v>
      </c>
      <c r="F21" s="36">
        <v>62</v>
      </c>
      <c r="G21" s="36">
        <v>60</v>
      </c>
      <c r="H21" s="36">
        <v>56</v>
      </c>
      <c r="J21" s="90" t="s">
        <v>625</v>
      </c>
    </row>
    <row r="22" spans="1:10" ht="21.75" customHeight="1">
      <c r="A22" s="45" t="s">
        <v>1171</v>
      </c>
      <c r="B22" s="371">
        <v>2.36</v>
      </c>
      <c r="C22" s="373">
        <v>2.0099999999999998</v>
      </c>
      <c r="D22" s="374">
        <v>2.04</v>
      </c>
      <c r="E22" s="375">
        <v>2.16</v>
      </c>
      <c r="F22" s="374">
        <v>2.4</v>
      </c>
      <c r="G22" s="374">
        <f t="shared" ref="G22:H24" si="2">G19/G34*1000000</f>
        <v>2.1940226553091677</v>
      </c>
      <c r="H22" s="374">
        <f t="shared" si="2"/>
        <v>1.8265911991754804</v>
      </c>
      <c r="J22" s="371">
        <f>J19/J34*1000000</f>
        <v>3.3985098510886269</v>
      </c>
    </row>
    <row r="23" spans="1:10" ht="21.75" customHeight="1">
      <c r="A23" s="19" t="s">
        <v>1172</v>
      </c>
      <c r="B23" s="261">
        <f>B20/B35*1000000</f>
        <v>3.6759787186478552</v>
      </c>
      <c r="C23" s="377">
        <v>2.77</v>
      </c>
      <c r="D23" s="377">
        <v>2.04</v>
      </c>
      <c r="E23" s="377">
        <v>2.35</v>
      </c>
      <c r="F23" s="377">
        <v>2.91</v>
      </c>
      <c r="G23" s="376">
        <f t="shared" si="2"/>
        <v>2.826306204712056</v>
      </c>
      <c r="H23" s="376">
        <f t="shared" si="2"/>
        <v>1.9411594834511414</v>
      </c>
      <c r="J23" s="131" t="s">
        <v>625</v>
      </c>
    </row>
    <row r="24" spans="1:10" ht="21.75" customHeight="1">
      <c r="A24" s="25" t="s">
        <v>1173</v>
      </c>
      <c r="B24" s="250">
        <f>B21/B36*1000000</f>
        <v>1.8670333055957584</v>
      </c>
      <c r="C24" s="379">
        <v>1.68</v>
      </c>
      <c r="D24" s="379">
        <v>2.04</v>
      </c>
      <c r="E24" s="379">
        <v>2.08</v>
      </c>
      <c r="F24" s="379">
        <v>2.13</v>
      </c>
      <c r="G24" s="378">
        <f t="shared" si="2"/>
        <v>1.8848073002858972</v>
      </c>
      <c r="H24" s="378">
        <f t="shared" si="2"/>
        <v>1.747400168883106</v>
      </c>
      <c r="J24" s="90" t="s">
        <v>625</v>
      </c>
    </row>
    <row r="25" spans="1:10" ht="21.75" customHeight="1">
      <c r="A25" s="391"/>
      <c r="B25" s="372"/>
      <c r="C25" s="372"/>
      <c r="D25" s="372"/>
      <c r="E25" s="372"/>
      <c r="F25" s="372"/>
      <c r="G25" s="372"/>
      <c r="H25" s="372"/>
      <c r="J25" s="372"/>
    </row>
    <row r="26" spans="1:10" ht="21.75" customHeight="1">
      <c r="A26" s="362" t="s">
        <v>1174</v>
      </c>
      <c r="B26" s="254">
        <v>6</v>
      </c>
      <c r="C26" s="254">
        <v>6</v>
      </c>
      <c r="D26" s="255">
        <v>5</v>
      </c>
      <c r="E26" s="255">
        <v>9</v>
      </c>
      <c r="F26" s="255">
        <v>6</v>
      </c>
      <c r="G26" s="255">
        <v>4</v>
      </c>
      <c r="H26" s="277" t="s">
        <v>625</v>
      </c>
      <c r="J26" s="28"/>
    </row>
    <row r="27" spans="1:10" ht="21.75" customHeight="1">
      <c r="A27" s="380" t="s">
        <v>1175</v>
      </c>
      <c r="B27" s="381">
        <v>28</v>
      </c>
      <c r="C27" s="381">
        <v>24</v>
      </c>
      <c r="D27" s="382">
        <v>19</v>
      </c>
      <c r="E27" s="382">
        <v>19</v>
      </c>
      <c r="F27" s="382">
        <v>32</v>
      </c>
      <c r="G27" s="382">
        <v>23</v>
      </c>
      <c r="H27" s="382">
        <v>30</v>
      </c>
      <c r="J27" s="382">
        <v>77</v>
      </c>
    </row>
    <row r="28" spans="1:10" ht="21.75" customHeight="1">
      <c r="A28" s="362" t="s">
        <v>1176</v>
      </c>
      <c r="B28" s="254">
        <v>45</v>
      </c>
      <c r="C28" s="254">
        <v>45</v>
      </c>
      <c r="D28" s="255">
        <v>32</v>
      </c>
      <c r="E28" s="255">
        <v>31</v>
      </c>
      <c r="F28" s="255">
        <v>44</v>
      </c>
      <c r="G28" s="255">
        <v>29</v>
      </c>
      <c r="H28" s="255">
        <v>48</v>
      </c>
      <c r="J28" s="254">
        <v>58</v>
      </c>
    </row>
    <row r="29" spans="1:10" ht="21.75" customHeight="1">
      <c r="A29" s="383" t="s">
        <v>1177</v>
      </c>
      <c r="B29" s="384">
        <v>2325</v>
      </c>
      <c r="C29" s="381">
        <v>2325</v>
      </c>
      <c r="D29" s="382">
        <v>1577</v>
      </c>
      <c r="E29" s="382">
        <v>581</v>
      </c>
      <c r="F29" s="382">
        <v>475</v>
      </c>
      <c r="G29" s="382">
        <v>436</v>
      </c>
      <c r="H29" s="382">
        <v>263</v>
      </c>
      <c r="J29" s="382">
        <v>245</v>
      </c>
    </row>
    <row r="30" spans="1:10" ht="21.75" customHeight="1">
      <c r="A30" s="362" t="s">
        <v>1178</v>
      </c>
      <c r="B30" s="371">
        <f t="shared" ref="B30:H30" si="3">B29/B34*1000000</f>
        <v>53.697009048881391</v>
      </c>
      <c r="C30" s="371">
        <f t="shared" si="3"/>
        <v>45.833911187243508</v>
      </c>
      <c r="D30" s="260">
        <f t="shared" si="3"/>
        <v>30.385365400546885</v>
      </c>
      <c r="E30" s="260">
        <f t="shared" si="3"/>
        <v>11.95305318010054</v>
      </c>
      <c r="F30" s="260">
        <f t="shared" si="3"/>
        <v>10.658744758450068</v>
      </c>
      <c r="G30" s="260">
        <f t="shared" si="3"/>
        <v>9.1980180549499728</v>
      </c>
      <c r="H30" s="260">
        <f t="shared" si="3"/>
        <v>4.8524594483146597</v>
      </c>
      <c r="J30" s="371">
        <f>J29/J34*1000000</f>
        <v>4.7852581236592728</v>
      </c>
    </row>
    <row r="31" spans="1:10" ht="21.75" customHeight="1">
      <c r="A31" s="380" t="s">
        <v>1179</v>
      </c>
      <c r="B31" s="381">
        <v>89</v>
      </c>
      <c r="C31" s="381">
        <v>89</v>
      </c>
      <c r="D31" s="382">
        <v>97</v>
      </c>
      <c r="E31" s="382">
        <v>131</v>
      </c>
      <c r="F31" s="382">
        <v>93</v>
      </c>
      <c r="G31" s="382">
        <v>109</v>
      </c>
      <c r="H31" s="382">
        <v>95</v>
      </c>
      <c r="J31" s="382">
        <v>86</v>
      </c>
    </row>
    <row r="32" spans="1:10" ht="21.75" customHeight="1">
      <c r="A32" s="362" t="s">
        <v>1180</v>
      </c>
      <c r="B32" s="254">
        <v>100</v>
      </c>
      <c r="C32" s="254">
        <v>100</v>
      </c>
      <c r="D32" s="255">
        <v>98</v>
      </c>
      <c r="E32" s="255">
        <v>100</v>
      </c>
      <c r="F32" s="255">
        <v>98</v>
      </c>
      <c r="G32" s="255">
        <v>98</v>
      </c>
      <c r="H32" s="255">
        <v>89</v>
      </c>
      <c r="J32" s="28" t="s">
        <v>625</v>
      </c>
    </row>
    <row r="33" spans="1:16384" ht="21.75" customHeight="1">
      <c r="A33" s="380" t="s">
        <v>1181</v>
      </c>
      <c r="B33" s="385">
        <v>15.15</v>
      </c>
      <c r="C33" s="385">
        <v>12.93</v>
      </c>
      <c r="D33" s="386">
        <v>10.7</v>
      </c>
      <c r="E33" s="387">
        <v>8.3800000000000008</v>
      </c>
      <c r="F33" s="387">
        <v>4.8899999999999997</v>
      </c>
      <c r="G33" s="387">
        <v>4.1100000000000003</v>
      </c>
      <c r="H33" s="387">
        <v>2.91</v>
      </c>
      <c r="J33" s="388" t="s">
        <v>625</v>
      </c>
    </row>
    <row r="34" spans="1:16384" ht="21.75" customHeight="1">
      <c r="A34" s="362" t="s">
        <v>1182</v>
      </c>
      <c r="B34" s="29">
        <f>SUM(B35:B36)</f>
        <v>43298501</v>
      </c>
      <c r="C34" s="29">
        <f>SUM(C35:C36)</f>
        <v>50726633.180000007</v>
      </c>
      <c r="D34" s="268">
        <f>SUM(D35:D36)</f>
        <v>51899984.719999999</v>
      </c>
      <c r="E34" s="268">
        <f>SUM(E35:E36)</f>
        <v>48606828</v>
      </c>
      <c r="F34" s="268">
        <v>44564347</v>
      </c>
      <c r="G34" s="268">
        <v>47401516</v>
      </c>
      <c r="H34" s="268">
        <v>54199319.5</v>
      </c>
      <c r="J34" s="29">
        <v>51198910</v>
      </c>
    </row>
    <row r="35" spans="1:16384" ht="21.75" customHeight="1">
      <c r="A35" s="380" t="s">
        <v>1183</v>
      </c>
      <c r="B35" s="389">
        <v>11697565</v>
      </c>
      <c r="C35" s="389">
        <v>15503707.550000001</v>
      </c>
      <c r="D35" s="390">
        <v>15665181.5</v>
      </c>
      <c r="E35" s="390">
        <v>14885489.5</v>
      </c>
      <c r="F35" s="390">
        <v>15446599.5</v>
      </c>
      <c r="G35" s="390">
        <v>15568023</v>
      </c>
      <c r="H35" s="390">
        <v>22151709</v>
      </c>
      <c r="J35" s="131"/>
    </row>
    <row r="36" spans="1:16384" ht="21.75" customHeight="1">
      <c r="A36" s="362" t="s">
        <v>1184</v>
      </c>
      <c r="B36" s="29">
        <v>31600936</v>
      </c>
      <c r="C36" s="29">
        <v>35222925.630000003</v>
      </c>
      <c r="D36" s="268">
        <v>36234803.219999999</v>
      </c>
      <c r="E36" s="268">
        <v>33721338.5</v>
      </c>
      <c r="F36" s="268">
        <v>29117747.5</v>
      </c>
      <c r="G36" s="268">
        <v>31833493</v>
      </c>
      <c r="H36" s="268">
        <v>32047610.5</v>
      </c>
    </row>
    <row r="37" spans="1:16384" ht="37.5" customHeight="1">
      <c r="A37" s="761" t="s">
        <v>1185</v>
      </c>
      <c r="B37" s="761"/>
      <c r="C37" s="761"/>
      <c r="D37" s="761"/>
      <c r="E37" s="761"/>
      <c r="F37" s="761"/>
      <c r="G37" s="761"/>
      <c r="H37" s="761"/>
    </row>
    <row r="38" spans="1:16384" ht="33.25" customHeight="1">
      <c r="A38" s="762" t="s">
        <v>1186</v>
      </c>
      <c r="B38" s="685"/>
      <c r="C38" s="685"/>
      <c r="D38" s="685"/>
      <c r="E38" s="685"/>
      <c r="F38" s="685"/>
      <c r="G38" s="685"/>
      <c r="H38" s="685"/>
    </row>
    <row r="39" spans="1:16384" ht="21.75" customHeight="1">
      <c r="A39" s="762" t="s">
        <v>1187</v>
      </c>
      <c r="B39" s="685"/>
      <c r="C39" s="685"/>
      <c r="D39" s="685"/>
      <c r="E39" s="685"/>
      <c r="F39" s="685"/>
      <c r="G39" s="685"/>
      <c r="H39" s="685"/>
    </row>
    <row r="40" spans="1:16384" ht="20.75" customHeight="1">
      <c r="A40" s="762" t="s">
        <v>1188</v>
      </c>
      <c r="B40" s="685"/>
      <c r="C40" s="685"/>
      <c r="D40" s="685"/>
      <c r="E40" s="685"/>
      <c r="F40" s="685"/>
      <c r="G40" s="685"/>
      <c r="H40" s="685"/>
    </row>
    <row r="41" spans="1:16384" ht="105.75" customHeight="1">
      <c r="A41" s="762" t="s">
        <v>1189</v>
      </c>
      <c r="B41" s="685"/>
      <c r="C41" s="685"/>
      <c r="D41" s="685"/>
      <c r="E41" s="685"/>
      <c r="F41" s="685"/>
      <c r="G41" s="685"/>
      <c r="H41" s="685"/>
    </row>
    <row r="42" spans="1:16384" ht="20" customHeight="1">
      <c r="A42" s="762" t="s">
        <v>1190</v>
      </c>
      <c r="B42" s="685"/>
      <c r="C42" s="685"/>
      <c r="D42" s="685"/>
      <c r="E42" s="685"/>
      <c r="F42" s="685"/>
      <c r="G42" s="685"/>
      <c r="H42" s="685"/>
    </row>
    <row r="43" spans="1:16384" ht="34.25" customHeight="1">
      <c r="A43" s="762" t="s">
        <v>1191</v>
      </c>
      <c r="B43" s="685"/>
      <c r="C43" s="685"/>
      <c r="D43" s="685"/>
      <c r="E43" s="685"/>
      <c r="F43" s="685"/>
      <c r="G43" s="685"/>
      <c r="H43" s="685"/>
    </row>
    <row r="44" spans="1:16384" ht="21.75" customHeight="1">
      <c r="A44" s="762" t="s">
        <v>1192</v>
      </c>
      <c r="B44" s="685"/>
      <c r="C44" s="685"/>
      <c r="D44" s="685"/>
      <c r="E44" s="685"/>
      <c r="F44" s="685"/>
      <c r="G44" s="685"/>
      <c r="H44" s="685"/>
    </row>
    <row r="45" spans="1:16384" ht="44.25" customHeight="1">
      <c r="A45" s="762" t="s">
        <v>1193</v>
      </c>
      <c r="B45" s="685"/>
      <c r="C45" s="685"/>
      <c r="D45" s="685"/>
      <c r="E45" s="685"/>
      <c r="F45" s="685"/>
      <c r="G45" s="685"/>
      <c r="H45" s="685"/>
      <c r="I45" s="685"/>
      <c r="J45" s="685"/>
      <c r="K45" s="685"/>
      <c r="L45" s="685"/>
      <c r="M45" s="685"/>
      <c r="N45" s="685"/>
      <c r="O45" s="685"/>
      <c r="P45" s="685"/>
      <c r="Q45" s="685"/>
      <c r="R45" s="685"/>
      <c r="S45" s="685"/>
      <c r="T45" s="685"/>
      <c r="U45" s="685"/>
      <c r="V45" s="685"/>
      <c r="W45" s="685"/>
      <c r="X45" s="685"/>
      <c r="Y45" s="685"/>
      <c r="Z45" s="685"/>
      <c r="AA45" s="685"/>
      <c r="AB45" s="685"/>
      <c r="AC45" s="685"/>
      <c r="AD45" s="685"/>
      <c r="AE45" s="685"/>
      <c r="AF45" s="685"/>
      <c r="AG45" s="685"/>
      <c r="AH45" s="685"/>
      <c r="AI45" s="685"/>
      <c r="AJ45" s="685"/>
      <c r="AK45" s="685"/>
      <c r="AL45" s="685"/>
      <c r="AM45" s="685"/>
      <c r="AN45" s="685"/>
      <c r="AO45" s="685"/>
      <c r="AP45" s="685"/>
      <c r="AQ45" s="685"/>
      <c r="AR45" s="685"/>
      <c r="AS45" s="685"/>
      <c r="AT45" s="685"/>
      <c r="AU45" s="685"/>
      <c r="AV45" s="685"/>
      <c r="AW45" s="685"/>
      <c r="AX45" s="685"/>
      <c r="AY45" s="685"/>
      <c r="AZ45" s="685"/>
      <c r="BA45" s="685"/>
      <c r="BB45" s="685"/>
      <c r="BC45" s="685"/>
      <c r="BD45" s="685"/>
      <c r="BE45" s="685"/>
      <c r="BF45" s="685"/>
      <c r="BG45" s="685"/>
      <c r="BH45" s="685"/>
      <c r="BI45" s="685"/>
      <c r="BJ45" s="685"/>
      <c r="BK45" s="685"/>
      <c r="BL45" s="685"/>
      <c r="BM45" s="685"/>
      <c r="BN45" s="685"/>
      <c r="BO45" s="685"/>
      <c r="BP45" s="685"/>
      <c r="BQ45" s="685"/>
      <c r="BR45" s="685"/>
      <c r="BS45" s="685"/>
      <c r="BT45" s="685"/>
      <c r="BU45" s="685"/>
      <c r="BV45" s="685"/>
      <c r="BW45" s="685"/>
      <c r="BX45" s="685"/>
      <c r="BY45" s="685"/>
      <c r="BZ45" s="685"/>
      <c r="CA45" s="685"/>
      <c r="CB45" s="685"/>
      <c r="CC45" s="685"/>
      <c r="CD45" s="685"/>
      <c r="CE45" s="685"/>
      <c r="CF45" s="685"/>
      <c r="CG45" s="685"/>
      <c r="CH45" s="685"/>
      <c r="CI45" s="685"/>
      <c r="CJ45" s="685"/>
      <c r="CK45" s="685"/>
      <c r="CL45" s="685"/>
      <c r="CM45" s="685"/>
      <c r="CN45" s="685"/>
      <c r="CO45" s="685"/>
      <c r="CP45" s="685"/>
      <c r="CQ45" s="685"/>
      <c r="CR45" s="685"/>
      <c r="CS45" s="685"/>
      <c r="CT45" s="685"/>
      <c r="CU45" s="685"/>
      <c r="CV45" s="685"/>
      <c r="CW45" s="685"/>
      <c r="CX45" s="685"/>
      <c r="CY45" s="685"/>
      <c r="CZ45" s="685"/>
      <c r="DA45" s="685"/>
      <c r="DB45" s="685"/>
      <c r="DC45" s="685"/>
      <c r="DD45" s="685"/>
      <c r="DE45" s="685"/>
      <c r="DF45" s="685"/>
      <c r="DG45" s="685"/>
      <c r="DH45" s="685"/>
      <c r="DI45" s="685"/>
      <c r="DJ45" s="685"/>
      <c r="DK45" s="685"/>
      <c r="DL45" s="685"/>
      <c r="DM45" s="685"/>
      <c r="DN45" s="685"/>
      <c r="DO45" s="685"/>
      <c r="DP45" s="685"/>
      <c r="DQ45" s="685"/>
      <c r="DR45" s="685"/>
      <c r="DS45" s="685"/>
      <c r="DT45" s="685"/>
      <c r="DU45" s="685"/>
      <c r="DV45" s="685"/>
      <c r="DW45" s="685"/>
      <c r="DX45" s="685"/>
      <c r="DY45" s="685"/>
      <c r="DZ45" s="685"/>
      <c r="EA45" s="685"/>
      <c r="EB45" s="685"/>
      <c r="EC45" s="685"/>
      <c r="ED45" s="685"/>
      <c r="EE45" s="685"/>
      <c r="EF45" s="685"/>
      <c r="EG45" s="685"/>
      <c r="EH45" s="685"/>
      <c r="EI45" s="685"/>
      <c r="EJ45" s="685"/>
      <c r="EK45" s="685"/>
      <c r="EL45" s="685"/>
      <c r="EM45" s="685"/>
      <c r="EN45" s="685"/>
      <c r="EO45" s="685"/>
      <c r="EP45" s="685"/>
      <c r="EQ45" s="685"/>
      <c r="ER45" s="685"/>
      <c r="ES45" s="685"/>
      <c r="ET45" s="685"/>
      <c r="EU45" s="685"/>
      <c r="EV45" s="685"/>
      <c r="EW45" s="685"/>
      <c r="EX45" s="685"/>
      <c r="EY45" s="685"/>
      <c r="EZ45" s="685"/>
      <c r="FA45" s="685"/>
      <c r="FB45" s="685"/>
      <c r="FC45" s="685"/>
      <c r="FD45" s="685"/>
      <c r="FE45" s="685"/>
      <c r="FF45" s="685"/>
      <c r="FG45" s="685"/>
      <c r="FH45" s="685"/>
      <c r="FI45" s="685"/>
      <c r="FJ45" s="685"/>
      <c r="FK45" s="685"/>
      <c r="FL45" s="685"/>
      <c r="FM45" s="685"/>
      <c r="FN45" s="685"/>
      <c r="FO45" s="685"/>
      <c r="FP45" s="685"/>
      <c r="FQ45" s="685"/>
      <c r="FR45" s="685"/>
      <c r="FS45" s="685"/>
      <c r="FT45" s="685"/>
      <c r="FU45" s="685"/>
      <c r="FV45" s="685"/>
      <c r="FW45" s="685"/>
      <c r="FX45" s="685"/>
      <c r="FY45" s="685"/>
      <c r="FZ45" s="685"/>
      <c r="GA45" s="685"/>
      <c r="GB45" s="685"/>
      <c r="GC45" s="685"/>
      <c r="GD45" s="685"/>
      <c r="GE45" s="685"/>
      <c r="GF45" s="685"/>
      <c r="GG45" s="685"/>
      <c r="GH45" s="685"/>
      <c r="GI45" s="685"/>
      <c r="GJ45" s="685"/>
      <c r="GK45" s="685"/>
      <c r="GL45" s="685"/>
      <c r="GM45" s="685"/>
      <c r="GN45" s="685"/>
      <c r="GO45" s="685"/>
      <c r="GP45" s="685"/>
      <c r="GQ45" s="685"/>
      <c r="GR45" s="685"/>
      <c r="GS45" s="685"/>
      <c r="GT45" s="685"/>
      <c r="GU45" s="685"/>
      <c r="GV45" s="685"/>
      <c r="GW45" s="685"/>
      <c r="GX45" s="685"/>
      <c r="GY45" s="685"/>
      <c r="GZ45" s="685"/>
      <c r="HA45" s="685"/>
      <c r="HB45" s="685"/>
      <c r="HC45" s="685"/>
      <c r="HD45" s="685"/>
      <c r="HE45" s="685"/>
      <c r="HF45" s="685"/>
      <c r="HG45" s="685"/>
      <c r="HH45" s="685"/>
      <c r="HI45" s="685"/>
      <c r="HJ45" s="685"/>
      <c r="HK45" s="685"/>
      <c r="HL45" s="685"/>
      <c r="HM45" s="685"/>
      <c r="HN45" s="685"/>
      <c r="HO45" s="685"/>
      <c r="HP45" s="685"/>
      <c r="HQ45" s="685"/>
      <c r="HR45" s="685"/>
      <c r="HS45" s="685"/>
      <c r="HT45" s="685"/>
      <c r="HU45" s="685"/>
      <c r="HV45" s="685"/>
      <c r="HW45" s="685"/>
      <c r="HX45" s="685"/>
      <c r="HY45" s="685"/>
      <c r="HZ45" s="685"/>
      <c r="IA45" s="685"/>
      <c r="IB45" s="685"/>
      <c r="IC45" s="685"/>
      <c r="ID45" s="685"/>
      <c r="IE45" s="685"/>
      <c r="IF45" s="685"/>
      <c r="IG45" s="685"/>
      <c r="IH45" s="685"/>
      <c r="II45" s="685"/>
      <c r="IJ45" s="685"/>
      <c r="IK45" s="685"/>
      <c r="IL45" s="685"/>
      <c r="IM45" s="685"/>
      <c r="IN45" s="685"/>
      <c r="IO45" s="685"/>
      <c r="IP45" s="685"/>
      <c r="IQ45" s="685"/>
      <c r="IR45" s="685"/>
      <c r="IS45" s="685"/>
      <c r="IT45" s="685"/>
      <c r="IU45" s="685"/>
      <c r="IV45" s="685"/>
      <c r="IW45" s="685"/>
      <c r="IX45" s="685"/>
      <c r="IY45" s="685"/>
      <c r="IZ45" s="685"/>
      <c r="JA45" s="685"/>
      <c r="JB45" s="685"/>
      <c r="JC45" s="685"/>
      <c r="JD45" s="685"/>
      <c r="JE45" s="685"/>
      <c r="JF45" s="685"/>
      <c r="JG45" s="685"/>
      <c r="JH45" s="685"/>
      <c r="JI45" s="685"/>
      <c r="JJ45" s="685"/>
      <c r="JK45" s="685"/>
      <c r="JL45" s="685"/>
      <c r="JM45" s="685"/>
      <c r="JN45" s="685"/>
      <c r="JO45" s="685"/>
      <c r="JP45" s="685"/>
      <c r="JQ45" s="685"/>
      <c r="JR45" s="685"/>
      <c r="JS45" s="685"/>
      <c r="JT45" s="685"/>
      <c r="JU45" s="685"/>
      <c r="JV45" s="685"/>
      <c r="JW45" s="685"/>
      <c r="JX45" s="685"/>
      <c r="JY45" s="685"/>
      <c r="JZ45" s="685"/>
      <c r="KA45" s="685"/>
      <c r="KB45" s="685"/>
      <c r="KC45" s="685"/>
      <c r="KD45" s="685"/>
      <c r="KE45" s="685"/>
      <c r="KF45" s="685"/>
      <c r="KG45" s="685"/>
      <c r="KH45" s="685"/>
      <c r="KI45" s="685"/>
      <c r="KJ45" s="685"/>
      <c r="KK45" s="685"/>
      <c r="KL45" s="685"/>
      <c r="KM45" s="685"/>
      <c r="KN45" s="685"/>
      <c r="KO45" s="685"/>
      <c r="KP45" s="685"/>
      <c r="KQ45" s="685"/>
      <c r="KR45" s="685"/>
      <c r="KS45" s="685"/>
      <c r="KT45" s="685"/>
      <c r="KU45" s="685"/>
      <c r="KV45" s="685"/>
      <c r="KW45" s="685"/>
      <c r="KX45" s="685"/>
      <c r="KY45" s="685"/>
      <c r="KZ45" s="685"/>
      <c r="LA45" s="685"/>
      <c r="LB45" s="685"/>
      <c r="LC45" s="685"/>
      <c r="LD45" s="685"/>
      <c r="LE45" s="685"/>
      <c r="LF45" s="685"/>
      <c r="LG45" s="685"/>
      <c r="LH45" s="685"/>
      <c r="LI45" s="685"/>
      <c r="LJ45" s="685"/>
      <c r="LK45" s="685"/>
      <c r="LL45" s="685"/>
      <c r="LM45" s="685"/>
      <c r="LN45" s="685"/>
      <c r="LO45" s="685"/>
      <c r="LP45" s="685"/>
      <c r="LQ45" s="685"/>
      <c r="LR45" s="685"/>
      <c r="LS45" s="685"/>
      <c r="LT45" s="685"/>
      <c r="LU45" s="685"/>
      <c r="LV45" s="685"/>
      <c r="LW45" s="685"/>
      <c r="LX45" s="685"/>
      <c r="LY45" s="685"/>
      <c r="LZ45" s="685"/>
      <c r="MA45" s="685"/>
      <c r="MB45" s="685"/>
      <c r="MC45" s="685"/>
      <c r="MD45" s="685"/>
      <c r="ME45" s="685"/>
      <c r="MF45" s="685"/>
      <c r="MG45" s="685"/>
      <c r="MH45" s="685"/>
      <c r="MI45" s="685"/>
      <c r="MJ45" s="685"/>
      <c r="MK45" s="685"/>
      <c r="ML45" s="685"/>
      <c r="MM45" s="685"/>
      <c r="MN45" s="685"/>
      <c r="MO45" s="685"/>
      <c r="MP45" s="685"/>
      <c r="MQ45" s="685"/>
      <c r="MR45" s="685"/>
      <c r="MS45" s="685"/>
      <c r="MT45" s="685"/>
      <c r="MU45" s="685"/>
      <c r="MV45" s="685"/>
      <c r="MW45" s="685"/>
      <c r="MX45" s="685"/>
      <c r="MY45" s="685"/>
      <c r="MZ45" s="685"/>
      <c r="NA45" s="685"/>
      <c r="NB45" s="685"/>
      <c r="NC45" s="685"/>
      <c r="ND45" s="685"/>
      <c r="NE45" s="685"/>
      <c r="NF45" s="685"/>
      <c r="NG45" s="685"/>
      <c r="NH45" s="685"/>
      <c r="NI45" s="685"/>
      <c r="NJ45" s="685"/>
      <c r="NK45" s="685"/>
      <c r="NL45" s="685"/>
      <c r="NM45" s="685"/>
      <c r="NN45" s="685"/>
      <c r="NO45" s="685"/>
      <c r="NP45" s="685"/>
      <c r="NQ45" s="685"/>
      <c r="NR45" s="685"/>
      <c r="NS45" s="685"/>
      <c r="NT45" s="685"/>
      <c r="NU45" s="685"/>
      <c r="NV45" s="685"/>
      <c r="NW45" s="685"/>
      <c r="NX45" s="685"/>
      <c r="NY45" s="685"/>
      <c r="NZ45" s="685"/>
      <c r="OA45" s="685"/>
      <c r="OB45" s="685"/>
      <c r="OC45" s="685"/>
      <c r="OD45" s="685"/>
      <c r="OE45" s="685"/>
      <c r="OF45" s="685"/>
      <c r="OG45" s="685"/>
      <c r="OH45" s="685"/>
      <c r="OI45" s="685"/>
      <c r="OJ45" s="685"/>
      <c r="OK45" s="685"/>
      <c r="OL45" s="685"/>
      <c r="OM45" s="685"/>
      <c r="ON45" s="685"/>
      <c r="OO45" s="685"/>
      <c r="OP45" s="685"/>
      <c r="OQ45" s="685"/>
      <c r="OR45" s="685"/>
      <c r="OS45" s="685"/>
      <c r="OT45" s="685"/>
      <c r="OU45" s="685"/>
      <c r="OV45" s="685"/>
      <c r="OW45" s="685"/>
      <c r="OX45" s="685"/>
      <c r="OY45" s="685"/>
      <c r="OZ45" s="685"/>
      <c r="PA45" s="685"/>
      <c r="PB45" s="685"/>
      <c r="PC45" s="685"/>
      <c r="PD45" s="685"/>
      <c r="PE45" s="685"/>
      <c r="PF45" s="685"/>
      <c r="PG45" s="685"/>
      <c r="PH45" s="685"/>
      <c r="PI45" s="685"/>
      <c r="PJ45" s="685"/>
      <c r="PK45" s="685"/>
      <c r="PL45" s="685"/>
      <c r="PM45" s="685"/>
      <c r="PN45" s="685"/>
      <c r="PO45" s="685"/>
      <c r="PP45" s="685"/>
      <c r="PQ45" s="685"/>
      <c r="PR45" s="685"/>
      <c r="PS45" s="685"/>
      <c r="PT45" s="685"/>
      <c r="PU45" s="685"/>
      <c r="PV45" s="685"/>
      <c r="PW45" s="685"/>
      <c r="PX45" s="685"/>
      <c r="PY45" s="685"/>
      <c r="PZ45" s="685"/>
      <c r="QA45" s="685"/>
      <c r="QB45" s="685"/>
      <c r="QC45" s="685"/>
      <c r="QD45" s="685"/>
      <c r="QE45" s="685"/>
      <c r="QF45" s="685"/>
      <c r="QG45" s="685"/>
      <c r="QH45" s="685"/>
      <c r="QI45" s="685"/>
      <c r="QJ45" s="685"/>
      <c r="QK45" s="685"/>
      <c r="QL45" s="685"/>
      <c r="QM45" s="685"/>
      <c r="QN45" s="685"/>
      <c r="QO45" s="685"/>
      <c r="QP45" s="685"/>
      <c r="QQ45" s="685"/>
      <c r="QR45" s="685"/>
      <c r="QS45" s="685"/>
      <c r="QT45" s="685"/>
      <c r="QU45" s="685"/>
      <c r="QV45" s="685"/>
      <c r="QW45" s="685"/>
      <c r="QX45" s="685"/>
      <c r="QY45" s="685"/>
      <c r="QZ45" s="685"/>
      <c r="RA45" s="685"/>
      <c r="RB45" s="685"/>
      <c r="RC45" s="685"/>
      <c r="RD45" s="685"/>
      <c r="RE45" s="685"/>
      <c r="RF45" s="685"/>
      <c r="RG45" s="685"/>
      <c r="RH45" s="685"/>
      <c r="RI45" s="685"/>
      <c r="RJ45" s="685"/>
      <c r="RK45" s="685"/>
      <c r="RL45" s="685"/>
      <c r="RM45" s="685"/>
      <c r="RN45" s="685"/>
      <c r="RO45" s="685"/>
      <c r="RP45" s="685"/>
      <c r="RQ45" s="685"/>
      <c r="RR45" s="685"/>
      <c r="RS45" s="685"/>
      <c r="RT45" s="685"/>
      <c r="RU45" s="685"/>
      <c r="RV45" s="685"/>
      <c r="RW45" s="685"/>
      <c r="RX45" s="685"/>
      <c r="RY45" s="685"/>
      <c r="RZ45" s="685"/>
      <c r="SA45" s="685"/>
      <c r="SB45" s="685"/>
      <c r="SC45" s="685"/>
      <c r="SD45" s="685"/>
      <c r="SE45" s="685"/>
      <c r="SF45" s="685"/>
      <c r="SG45" s="685"/>
      <c r="SH45" s="685"/>
      <c r="SI45" s="685"/>
      <c r="SJ45" s="685"/>
      <c r="SK45" s="685"/>
      <c r="SL45" s="685"/>
      <c r="SM45" s="685"/>
      <c r="SN45" s="685"/>
      <c r="SO45" s="685"/>
      <c r="SP45" s="685"/>
      <c r="SQ45" s="685"/>
      <c r="SR45" s="685"/>
      <c r="SS45" s="685"/>
      <c r="ST45" s="685"/>
      <c r="SU45" s="685"/>
      <c r="SV45" s="685"/>
      <c r="SW45" s="685"/>
      <c r="SX45" s="685"/>
      <c r="SY45" s="685"/>
      <c r="SZ45" s="685"/>
      <c r="TA45" s="685"/>
      <c r="TB45" s="685"/>
      <c r="TC45" s="685"/>
      <c r="TD45" s="685"/>
      <c r="TE45" s="685"/>
      <c r="TF45" s="685"/>
      <c r="TG45" s="685"/>
      <c r="TH45" s="685"/>
      <c r="TI45" s="685"/>
      <c r="TJ45" s="685"/>
      <c r="TK45" s="685"/>
      <c r="TL45" s="685"/>
      <c r="TM45" s="685"/>
      <c r="TN45" s="685"/>
      <c r="TO45" s="685"/>
      <c r="TP45" s="685"/>
      <c r="TQ45" s="685"/>
      <c r="TR45" s="685"/>
      <c r="TS45" s="685"/>
      <c r="TT45" s="685"/>
      <c r="TU45" s="685"/>
      <c r="TV45" s="685"/>
      <c r="TW45" s="685"/>
      <c r="TX45" s="685"/>
      <c r="TY45" s="685"/>
      <c r="TZ45" s="685"/>
      <c r="UA45" s="685"/>
      <c r="UB45" s="685"/>
      <c r="UC45" s="685"/>
      <c r="UD45" s="685"/>
      <c r="UE45" s="685"/>
      <c r="UF45" s="685"/>
      <c r="UG45" s="685"/>
      <c r="UH45" s="685"/>
      <c r="UI45" s="685"/>
      <c r="UJ45" s="685"/>
      <c r="UK45" s="685"/>
      <c r="UL45" s="685"/>
      <c r="UM45" s="685"/>
      <c r="UN45" s="685"/>
      <c r="UO45" s="685"/>
      <c r="UP45" s="685"/>
      <c r="UQ45" s="685"/>
      <c r="UR45" s="685"/>
      <c r="US45" s="685"/>
      <c r="UT45" s="685"/>
      <c r="UU45" s="685"/>
      <c r="UV45" s="685"/>
      <c r="UW45" s="685"/>
      <c r="UX45" s="685"/>
      <c r="UY45" s="685"/>
      <c r="UZ45" s="685"/>
      <c r="VA45" s="685"/>
      <c r="VB45" s="685"/>
      <c r="VC45" s="685"/>
      <c r="VD45" s="685"/>
      <c r="VE45" s="685"/>
      <c r="VF45" s="685"/>
      <c r="VG45" s="685"/>
      <c r="VH45" s="685"/>
      <c r="VI45" s="685"/>
      <c r="VJ45" s="685"/>
      <c r="VK45" s="685"/>
      <c r="VL45" s="685"/>
      <c r="VM45" s="685"/>
      <c r="VN45" s="685"/>
      <c r="VO45" s="685"/>
      <c r="VP45" s="685"/>
      <c r="VQ45" s="685"/>
      <c r="VR45" s="685"/>
      <c r="VS45" s="685"/>
      <c r="VT45" s="685"/>
      <c r="VU45" s="685"/>
      <c r="VV45" s="685"/>
      <c r="VW45" s="685"/>
      <c r="VX45" s="685"/>
      <c r="VY45" s="685"/>
      <c r="VZ45" s="685"/>
      <c r="WA45" s="685"/>
      <c r="WB45" s="685"/>
      <c r="WC45" s="685"/>
      <c r="WD45" s="685"/>
      <c r="WE45" s="685"/>
      <c r="WF45" s="685"/>
      <c r="WG45" s="685"/>
      <c r="WH45" s="685"/>
      <c r="WI45" s="685"/>
      <c r="WJ45" s="685"/>
      <c r="WK45" s="685"/>
      <c r="WL45" s="685"/>
      <c r="WM45" s="685"/>
      <c r="WN45" s="685"/>
      <c r="WO45" s="685"/>
      <c r="WP45" s="685"/>
      <c r="WQ45" s="685"/>
      <c r="WR45" s="685"/>
      <c r="WS45" s="685"/>
      <c r="WT45" s="685"/>
      <c r="WU45" s="685"/>
      <c r="WV45" s="685"/>
      <c r="WW45" s="685"/>
      <c r="WX45" s="685"/>
      <c r="WY45" s="685"/>
      <c r="WZ45" s="685"/>
      <c r="XA45" s="685"/>
      <c r="XB45" s="685"/>
      <c r="XC45" s="685"/>
      <c r="XD45" s="685"/>
      <c r="XE45" s="685"/>
      <c r="XF45" s="685"/>
      <c r="XG45" s="685"/>
      <c r="XH45" s="685"/>
      <c r="XI45" s="685"/>
      <c r="XJ45" s="685"/>
      <c r="XK45" s="685"/>
      <c r="XL45" s="685"/>
      <c r="XM45" s="685"/>
      <c r="XN45" s="685"/>
      <c r="XO45" s="685"/>
      <c r="XP45" s="685"/>
      <c r="XQ45" s="685"/>
      <c r="XR45" s="685"/>
      <c r="XS45" s="685"/>
      <c r="XT45" s="685"/>
      <c r="XU45" s="685"/>
      <c r="XV45" s="685"/>
      <c r="XW45" s="685"/>
      <c r="XX45" s="685"/>
      <c r="XY45" s="685"/>
      <c r="XZ45" s="685"/>
      <c r="YA45" s="685"/>
      <c r="YB45" s="685"/>
      <c r="YC45" s="685"/>
      <c r="YD45" s="685"/>
      <c r="YE45" s="685"/>
      <c r="YF45" s="685"/>
      <c r="YG45" s="685"/>
      <c r="YH45" s="685"/>
      <c r="YI45" s="685"/>
      <c r="YJ45" s="685"/>
      <c r="YK45" s="685"/>
      <c r="YL45" s="685"/>
      <c r="YM45" s="685"/>
      <c r="YN45" s="685"/>
      <c r="YO45" s="685"/>
      <c r="YP45" s="685"/>
      <c r="YQ45" s="685"/>
      <c r="YR45" s="685"/>
      <c r="YS45" s="685"/>
      <c r="YT45" s="685"/>
      <c r="YU45" s="685"/>
      <c r="YV45" s="685"/>
      <c r="YW45" s="685"/>
      <c r="YX45" s="685"/>
      <c r="YY45" s="685"/>
      <c r="YZ45" s="685"/>
      <c r="ZA45" s="685"/>
      <c r="ZB45" s="685"/>
      <c r="ZC45" s="685"/>
      <c r="ZD45" s="685"/>
      <c r="ZE45" s="685"/>
      <c r="ZF45" s="685"/>
      <c r="ZG45" s="685"/>
      <c r="ZH45" s="685"/>
      <c r="ZI45" s="685"/>
      <c r="ZJ45" s="685"/>
      <c r="ZK45" s="685"/>
      <c r="ZL45" s="685"/>
      <c r="ZM45" s="685"/>
      <c r="ZN45" s="685"/>
      <c r="ZO45" s="685"/>
      <c r="ZP45" s="685"/>
      <c r="ZQ45" s="685"/>
      <c r="ZR45" s="685"/>
      <c r="ZS45" s="685"/>
      <c r="ZT45" s="685"/>
      <c r="ZU45" s="685"/>
      <c r="ZV45" s="685"/>
      <c r="ZW45" s="685"/>
      <c r="ZX45" s="685"/>
      <c r="ZY45" s="685"/>
      <c r="ZZ45" s="685"/>
      <c r="AAA45" s="685"/>
      <c r="AAB45" s="685"/>
      <c r="AAC45" s="685"/>
      <c r="AAD45" s="685"/>
      <c r="AAE45" s="685"/>
      <c r="AAF45" s="685"/>
      <c r="AAG45" s="685"/>
      <c r="AAH45" s="685"/>
      <c r="AAI45" s="685"/>
      <c r="AAJ45" s="685"/>
      <c r="AAK45" s="685"/>
      <c r="AAL45" s="685"/>
      <c r="AAM45" s="685"/>
      <c r="AAN45" s="685"/>
      <c r="AAO45" s="685"/>
      <c r="AAP45" s="685"/>
      <c r="AAQ45" s="685"/>
      <c r="AAR45" s="685"/>
      <c r="AAS45" s="685"/>
      <c r="AAT45" s="685"/>
      <c r="AAU45" s="685"/>
      <c r="AAV45" s="685"/>
      <c r="AAW45" s="685"/>
      <c r="AAX45" s="685"/>
      <c r="AAY45" s="685"/>
      <c r="AAZ45" s="685"/>
      <c r="ABA45" s="685"/>
      <c r="ABB45" s="685"/>
      <c r="ABC45" s="685"/>
      <c r="ABD45" s="685"/>
      <c r="ABE45" s="685"/>
      <c r="ABF45" s="685"/>
      <c r="ABG45" s="685"/>
      <c r="ABH45" s="685"/>
      <c r="ABI45" s="685"/>
      <c r="ABJ45" s="685"/>
      <c r="ABK45" s="685"/>
      <c r="ABL45" s="685"/>
      <c r="ABM45" s="685"/>
      <c r="ABN45" s="685"/>
      <c r="ABO45" s="685"/>
      <c r="ABP45" s="685"/>
      <c r="ABQ45" s="685"/>
      <c r="ABR45" s="685"/>
      <c r="ABS45" s="685"/>
      <c r="ABT45" s="685"/>
      <c r="ABU45" s="685"/>
      <c r="ABV45" s="685"/>
      <c r="ABW45" s="685"/>
      <c r="ABX45" s="685"/>
      <c r="ABY45" s="685"/>
      <c r="ABZ45" s="685"/>
      <c r="ACA45" s="685"/>
      <c r="ACB45" s="685"/>
      <c r="ACC45" s="685"/>
      <c r="ACD45" s="685"/>
      <c r="ACE45" s="685"/>
      <c r="ACF45" s="685"/>
      <c r="ACG45" s="685"/>
      <c r="ACH45" s="685"/>
      <c r="ACI45" s="685"/>
      <c r="ACJ45" s="685"/>
      <c r="ACK45" s="685"/>
      <c r="ACL45" s="685"/>
      <c r="ACM45" s="685"/>
      <c r="ACN45" s="685"/>
      <c r="ACO45" s="685"/>
      <c r="ACP45" s="685"/>
      <c r="ACQ45" s="685"/>
      <c r="ACR45" s="685"/>
      <c r="ACS45" s="685"/>
      <c r="ACT45" s="685"/>
      <c r="ACU45" s="685"/>
      <c r="ACV45" s="685"/>
      <c r="ACW45" s="685"/>
      <c r="ACX45" s="685"/>
      <c r="ACY45" s="685"/>
      <c r="ACZ45" s="685"/>
      <c r="ADA45" s="685"/>
      <c r="ADB45" s="685"/>
      <c r="ADC45" s="685"/>
      <c r="ADD45" s="685"/>
      <c r="ADE45" s="685"/>
      <c r="ADF45" s="685"/>
      <c r="ADG45" s="685"/>
      <c r="ADH45" s="685"/>
      <c r="ADI45" s="685"/>
      <c r="ADJ45" s="685"/>
      <c r="ADK45" s="685"/>
      <c r="ADL45" s="685"/>
      <c r="ADM45" s="685"/>
      <c r="ADN45" s="685"/>
      <c r="ADO45" s="685"/>
      <c r="ADP45" s="685"/>
      <c r="ADQ45" s="685"/>
      <c r="ADR45" s="685"/>
      <c r="ADS45" s="685"/>
      <c r="ADT45" s="685"/>
      <c r="ADU45" s="685"/>
      <c r="ADV45" s="685"/>
      <c r="ADW45" s="685"/>
      <c r="ADX45" s="685"/>
      <c r="ADY45" s="685"/>
      <c r="ADZ45" s="685"/>
      <c r="AEA45" s="685"/>
      <c r="AEB45" s="685"/>
      <c r="AEC45" s="685"/>
      <c r="AED45" s="685"/>
      <c r="AEE45" s="685"/>
      <c r="AEF45" s="685"/>
      <c r="AEG45" s="685"/>
      <c r="AEH45" s="685"/>
      <c r="AEI45" s="685"/>
      <c r="AEJ45" s="685"/>
      <c r="AEK45" s="685"/>
      <c r="AEL45" s="685"/>
      <c r="AEM45" s="685"/>
      <c r="AEN45" s="685"/>
      <c r="AEO45" s="685"/>
      <c r="AEP45" s="685"/>
      <c r="AEQ45" s="685"/>
      <c r="AER45" s="685"/>
      <c r="AES45" s="685"/>
      <c r="AET45" s="685"/>
      <c r="AEU45" s="685"/>
      <c r="AEV45" s="685"/>
      <c r="AEW45" s="685"/>
      <c r="AEX45" s="685"/>
      <c r="AEY45" s="685"/>
      <c r="AEZ45" s="685"/>
      <c r="AFA45" s="685"/>
      <c r="AFB45" s="685"/>
      <c r="AFC45" s="685"/>
      <c r="AFD45" s="685"/>
      <c r="AFE45" s="685"/>
      <c r="AFF45" s="685"/>
      <c r="AFG45" s="685"/>
      <c r="AFH45" s="685"/>
      <c r="AFI45" s="685"/>
      <c r="AFJ45" s="685"/>
      <c r="AFK45" s="685"/>
      <c r="AFL45" s="685"/>
      <c r="AFM45" s="685"/>
      <c r="AFN45" s="685"/>
      <c r="AFO45" s="685"/>
      <c r="AFP45" s="685"/>
      <c r="AFQ45" s="685"/>
      <c r="AFR45" s="685"/>
      <c r="AFS45" s="685"/>
      <c r="AFT45" s="685"/>
      <c r="AFU45" s="685"/>
      <c r="AFV45" s="685"/>
      <c r="AFW45" s="685"/>
      <c r="AFX45" s="685"/>
      <c r="AFY45" s="685"/>
      <c r="AFZ45" s="685"/>
      <c r="AGA45" s="685"/>
      <c r="AGB45" s="685"/>
      <c r="AGC45" s="685"/>
      <c r="AGD45" s="685"/>
      <c r="AGE45" s="685"/>
      <c r="AGF45" s="685"/>
      <c r="AGG45" s="685"/>
      <c r="AGH45" s="685"/>
      <c r="AGI45" s="685"/>
      <c r="AGJ45" s="685"/>
      <c r="AGK45" s="685"/>
      <c r="AGL45" s="685"/>
      <c r="AGM45" s="685"/>
      <c r="AGN45" s="685"/>
      <c r="AGO45" s="685"/>
      <c r="AGP45" s="685"/>
      <c r="AGQ45" s="685"/>
      <c r="AGR45" s="685"/>
      <c r="AGS45" s="685"/>
      <c r="AGT45" s="685"/>
      <c r="AGU45" s="685"/>
      <c r="AGV45" s="685"/>
      <c r="AGW45" s="685"/>
      <c r="AGX45" s="685"/>
      <c r="AGY45" s="685"/>
      <c r="AGZ45" s="685"/>
      <c r="AHA45" s="685"/>
      <c r="AHB45" s="685"/>
      <c r="AHC45" s="685"/>
      <c r="AHD45" s="685"/>
      <c r="AHE45" s="685"/>
      <c r="AHF45" s="685"/>
      <c r="AHG45" s="685"/>
      <c r="AHH45" s="685"/>
      <c r="AHI45" s="685"/>
      <c r="AHJ45" s="685"/>
      <c r="AHK45" s="685"/>
      <c r="AHL45" s="685"/>
      <c r="AHM45" s="685"/>
      <c r="AHN45" s="685"/>
      <c r="AHO45" s="685"/>
      <c r="AHP45" s="685"/>
      <c r="AHQ45" s="685"/>
      <c r="AHR45" s="685"/>
      <c r="AHS45" s="685"/>
      <c r="AHT45" s="685"/>
      <c r="AHU45" s="685"/>
      <c r="AHV45" s="685"/>
      <c r="AHW45" s="685"/>
      <c r="AHX45" s="685"/>
      <c r="AHY45" s="685"/>
      <c r="AHZ45" s="685"/>
      <c r="AIA45" s="685"/>
      <c r="AIB45" s="685"/>
      <c r="AIC45" s="685"/>
      <c r="AID45" s="685"/>
      <c r="AIE45" s="685"/>
      <c r="AIF45" s="685"/>
      <c r="AIG45" s="685"/>
      <c r="AIH45" s="685"/>
      <c r="AII45" s="685"/>
      <c r="AIJ45" s="685"/>
      <c r="AIK45" s="685"/>
      <c r="AIL45" s="685"/>
      <c r="AIM45" s="685"/>
      <c r="AIN45" s="685"/>
      <c r="AIO45" s="685"/>
      <c r="AIP45" s="685"/>
      <c r="AIQ45" s="685"/>
      <c r="AIR45" s="685"/>
      <c r="AIS45" s="685"/>
      <c r="AIT45" s="685"/>
      <c r="AIU45" s="685"/>
      <c r="AIV45" s="685"/>
      <c r="AIW45" s="685"/>
      <c r="AIX45" s="685"/>
      <c r="AIY45" s="685"/>
      <c r="AIZ45" s="685"/>
      <c r="AJA45" s="685"/>
      <c r="AJB45" s="685"/>
      <c r="AJC45" s="685"/>
      <c r="AJD45" s="685"/>
      <c r="AJE45" s="685"/>
      <c r="AJF45" s="685"/>
      <c r="AJG45" s="685"/>
      <c r="AJH45" s="685"/>
      <c r="AJI45" s="685"/>
      <c r="AJJ45" s="685"/>
      <c r="AJK45" s="685"/>
      <c r="AJL45" s="685"/>
      <c r="AJM45" s="685"/>
      <c r="AJN45" s="685"/>
      <c r="AJO45" s="685"/>
      <c r="AJP45" s="685"/>
      <c r="AJQ45" s="685"/>
      <c r="AJR45" s="685"/>
      <c r="AJS45" s="685"/>
      <c r="AJT45" s="685"/>
      <c r="AJU45" s="685"/>
      <c r="AJV45" s="685"/>
      <c r="AJW45" s="685"/>
      <c r="AJX45" s="685"/>
      <c r="AJY45" s="685"/>
      <c r="AJZ45" s="685"/>
      <c r="AKA45" s="685"/>
      <c r="AKB45" s="685"/>
      <c r="AKC45" s="685"/>
      <c r="AKD45" s="685"/>
      <c r="AKE45" s="685"/>
      <c r="AKF45" s="685"/>
      <c r="AKG45" s="685"/>
      <c r="AKH45" s="685"/>
      <c r="AKI45" s="685"/>
      <c r="AKJ45" s="685"/>
      <c r="AKK45" s="685"/>
      <c r="AKL45" s="685"/>
      <c r="AKM45" s="685"/>
      <c r="AKN45" s="685"/>
      <c r="AKO45" s="685"/>
      <c r="AKP45" s="685"/>
      <c r="AKQ45" s="685"/>
      <c r="AKR45" s="685"/>
      <c r="AKS45" s="685"/>
      <c r="AKT45" s="685"/>
      <c r="AKU45" s="685"/>
      <c r="AKV45" s="685"/>
      <c r="AKW45" s="685"/>
      <c r="AKX45" s="685"/>
      <c r="AKY45" s="685"/>
      <c r="AKZ45" s="685"/>
      <c r="ALA45" s="685"/>
      <c r="ALB45" s="685"/>
      <c r="ALC45" s="685"/>
      <c r="ALD45" s="685"/>
      <c r="ALE45" s="685"/>
      <c r="ALF45" s="685"/>
      <c r="ALG45" s="685"/>
      <c r="ALH45" s="685"/>
      <c r="ALI45" s="685"/>
      <c r="ALJ45" s="685"/>
      <c r="ALK45" s="685"/>
      <c r="ALL45" s="685"/>
      <c r="ALM45" s="685"/>
      <c r="ALN45" s="685"/>
      <c r="ALO45" s="685"/>
      <c r="ALP45" s="685"/>
      <c r="ALQ45" s="685"/>
      <c r="ALR45" s="685"/>
      <c r="ALS45" s="685"/>
      <c r="ALT45" s="685"/>
      <c r="ALU45" s="685"/>
      <c r="ALV45" s="685"/>
      <c r="ALW45" s="685"/>
      <c r="ALX45" s="685"/>
      <c r="ALY45" s="685"/>
      <c r="ALZ45" s="685"/>
      <c r="AMA45" s="685"/>
      <c r="AMB45" s="685"/>
      <c r="AMC45" s="685"/>
      <c r="AMD45" s="685"/>
      <c r="AME45" s="685"/>
      <c r="AMF45" s="685"/>
      <c r="AMG45" s="685"/>
      <c r="AMH45" s="685"/>
      <c r="AMI45" s="685"/>
      <c r="AMJ45" s="685"/>
      <c r="AMK45" s="685"/>
      <c r="AML45" s="685"/>
      <c r="AMM45" s="685"/>
      <c r="AMN45" s="685"/>
      <c r="AMO45" s="685"/>
      <c r="AMP45" s="685"/>
      <c r="AMQ45" s="685"/>
      <c r="AMR45" s="685"/>
      <c r="AMS45" s="685"/>
      <c r="AMT45" s="685"/>
      <c r="AMU45" s="685"/>
      <c r="AMV45" s="685"/>
      <c r="AMW45" s="685"/>
      <c r="AMX45" s="685"/>
      <c r="AMY45" s="685"/>
      <c r="AMZ45" s="685"/>
      <c r="ANA45" s="685"/>
      <c r="ANB45" s="685"/>
      <c r="ANC45" s="685"/>
      <c r="AND45" s="685"/>
      <c r="ANE45" s="685"/>
      <c r="ANF45" s="685"/>
      <c r="ANG45" s="685"/>
      <c r="ANH45" s="685"/>
      <c r="ANI45" s="685"/>
      <c r="ANJ45" s="685"/>
      <c r="ANK45" s="685"/>
      <c r="ANL45" s="685"/>
      <c r="ANM45" s="685"/>
      <c r="ANN45" s="685"/>
      <c r="ANO45" s="685"/>
      <c r="ANP45" s="685"/>
      <c r="ANQ45" s="685"/>
      <c r="ANR45" s="685"/>
      <c r="ANS45" s="685"/>
      <c r="ANT45" s="685"/>
      <c r="ANU45" s="685"/>
      <c r="ANV45" s="685"/>
      <c r="ANW45" s="685"/>
      <c r="ANX45" s="685"/>
      <c r="ANY45" s="685"/>
      <c r="ANZ45" s="685"/>
      <c r="AOA45" s="685"/>
      <c r="AOB45" s="685"/>
      <c r="AOC45" s="685"/>
      <c r="AOD45" s="685"/>
      <c r="AOE45" s="685"/>
      <c r="AOF45" s="685"/>
      <c r="AOG45" s="685"/>
      <c r="AOH45" s="685"/>
      <c r="AOI45" s="685"/>
      <c r="AOJ45" s="685"/>
      <c r="AOK45" s="685"/>
      <c r="AOL45" s="685"/>
      <c r="AOM45" s="685"/>
      <c r="AON45" s="685"/>
      <c r="AOO45" s="685"/>
      <c r="AOP45" s="685"/>
      <c r="AOQ45" s="685"/>
      <c r="AOR45" s="685"/>
      <c r="AOS45" s="685"/>
      <c r="AOT45" s="685"/>
      <c r="AOU45" s="685"/>
      <c r="AOV45" s="685"/>
      <c r="AOW45" s="685"/>
      <c r="AOX45" s="685"/>
      <c r="AOY45" s="685"/>
      <c r="AOZ45" s="685"/>
      <c r="APA45" s="685"/>
      <c r="APB45" s="685"/>
      <c r="APC45" s="685"/>
      <c r="APD45" s="685"/>
      <c r="APE45" s="685"/>
      <c r="APF45" s="685"/>
      <c r="APG45" s="685"/>
      <c r="APH45" s="685"/>
      <c r="API45" s="685"/>
      <c r="APJ45" s="685"/>
      <c r="APK45" s="685"/>
      <c r="APL45" s="685"/>
      <c r="APM45" s="685"/>
      <c r="APN45" s="685"/>
      <c r="APO45" s="685"/>
      <c r="APP45" s="685"/>
      <c r="APQ45" s="685"/>
      <c r="APR45" s="685"/>
      <c r="APS45" s="685"/>
      <c r="APT45" s="685"/>
      <c r="APU45" s="685"/>
      <c r="APV45" s="685"/>
      <c r="APW45" s="685"/>
      <c r="APX45" s="685"/>
      <c r="APY45" s="685"/>
      <c r="APZ45" s="685"/>
      <c r="AQA45" s="685"/>
      <c r="AQB45" s="685"/>
      <c r="AQC45" s="685"/>
      <c r="AQD45" s="685"/>
      <c r="AQE45" s="685"/>
      <c r="AQF45" s="685"/>
      <c r="AQG45" s="685"/>
      <c r="AQH45" s="685"/>
      <c r="AQI45" s="685"/>
      <c r="AQJ45" s="685"/>
      <c r="AQK45" s="685"/>
      <c r="AQL45" s="685"/>
      <c r="AQM45" s="685"/>
      <c r="AQN45" s="685"/>
      <c r="AQO45" s="685"/>
      <c r="AQP45" s="685"/>
      <c r="AQQ45" s="685"/>
      <c r="AQR45" s="685"/>
      <c r="AQS45" s="685"/>
      <c r="AQT45" s="685"/>
      <c r="AQU45" s="685"/>
      <c r="AQV45" s="685"/>
      <c r="AQW45" s="685"/>
      <c r="AQX45" s="685"/>
      <c r="AQY45" s="685"/>
      <c r="AQZ45" s="685"/>
      <c r="ARA45" s="685"/>
      <c r="ARB45" s="685"/>
      <c r="ARC45" s="685"/>
      <c r="ARD45" s="685"/>
      <c r="ARE45" s="685"/>
      <c r="ARF45" s="685"/>
      <c r="ARG45" s="685"/>
      <c r="ARH45" s="685"/>
      <c r="ARI45" s="685"/>
      <c r="ARJ45" s="685"/>
      <c r="ARK45" s="685"/>
      <c r="ARL45" s="685"/>
      <c r="ARM45" s="685"/>
      <c r="ARN45" s="685"/>
      <c r="ARO45" s="685"/>
      <c r="ARP45" s="685"/>
      <c r="ARQ45" s="685"/>
      <c r="ARR45" s="685"/>
      <c r="ARS45" s="685"/>
      <c r="ART45" s="685"/>
      <c r="ARU45" s="685"/>
      <c r="ARV45" s="685"/>
      <c r="ARW45" s="685"/>
      <c r="ARX45" s="685"/>
      <c r="ARY45" s="685"/>
      <c r="ARZ45" s="685"/>
      <c r="ASA45" s="685"/>
      <c r="ASB45" s="685"/>
      <c r="ASC45" s="685"/>
      <c r="ASD45" s="685"/>
      <c r="ASE45" s="685"/>
      <c r="ASF45" s="685"/>
      <c r="ASG45" s="685"/>
      <c r="ASH45" s="685"/>
      <c r="ASI45" s="685"/>
      <c r="ASJ45" s="685"/>
      <c r="ASK45" s="685"/>
      <c r="ASL45" s="685"/>
      <c r="ASM45" s="685"/>
      <c r="ASN45" s="685"/>
      <c r="ASO45" s="685"/>
      <c r="ASP45" s="685"/>
      <c r="ASQ45" s="685"/>
      <c r="ASR45" s="685"/>
      <c r="ASS45" s="685"/>
      <c r="AST45" s="685"/>
      <c r="ASU45" s="685"/>
      <c r="ASV45" s="685"/>
      <c r="ASW45" s="685"/>
      <c r="ASX45" s="685"/>
      <c r="ASY45" s="685"/>
      <c r="ASZ45" s="685"/>
      <c r="ATA45" s="685"/>
      <c r="ATB45" s="685"/>
      <c r="ATC45" s="685"/>
      <c r="ATD45" s="685"/>
      <c r="ATE45" s="685"/>
      <c r="ATF45" s="685"/>
      <c r="ATG45" s="685"/>
      <c r="ATH45" s="685"/>
      <c r="ATI45" s="685"/>
      <c r="ATJ45" s="685"/>
      <c r="ATK45" s="685"/>
      <c r="ATL45" s="685"/>
      <c r="ATM45" s="685"/>
      <c r="ATN45" s="685"/>
      <c r="ATO45" s="685"/>
      <c r="ATP45" s="685"/>
      <c r="ATQ45" s="685"/>
      <c r="ATR45" s="685"/>
      <c r="ATS45" s="685"/>
      <c r="ATT45" s="685"/>
      <c r="ATU45" s="685"/>
      <c r="ATV45" s="685"/>
      <c r="ATW45" s="685"/>
      <c r="ATX45" s="685"/>
      <c r="ATY45" s="685"/>
      <c r="ATZ45" s="685"/>
      <c r="AUA45" s="685"/>
      <c r="AUB45" s="685"/>
      <c r="AUC45" s="685"/>
      <c r="AUD45" s="685"/>
      <c r="AUE45" s="685"/>
      <c r="AUF45" s="685"/>
      <c r="AUG45" s="685"/>
      <c r="AUH45" s="685"/>
      <c r="AUI45" s="685"/>
      <c r="AUJ45" s="685"/>
      <c r="AUK45" s="685"/>
      <c r="AUL45" s="685"/>
      <c r="AUM45" s="685"/>
      <c r="AUN45" s="685"/>
      <c r="AUO45" s="685"/>
      <c r="AUP45" s="685"/>
      <c r="AUQ45" s="685"/>
      <c r="AUR45" s="685"/>
      <c r="AUS45" s="685"/>
      <c r="AUT45" s="685"/>
      <c r="AUU45" s="685"/>
      <c r="AUV45" s="685"/>
      <c r="AUW45" s="685"/>
      <c r="AUX45" s="685"/>
      <c r="AUY45" s="685"/>
      <c r="AUZ45" s="685"/>
      <c r="AVA45" s="685"/>
      <c r="AVB45" s="685"/>
      <c r="AVC45" s="685"/>
      <c r="AVD45" s="685"/>
      <c r="AVE45" s="685"/>
      <c r="AVF45" s="685"/>
      <c r="AVG45" s="685"/>
      <c r="AVH45" s="685"/>
      <c r="AVI45" s="685"/>
      <c r="AVJ45" s="685"/>
      <c r="AVK45" s="685"/>
      <c r="AVL45" s="685"/>
      <c r="AVM45" s="685"/>
      <c r="AVN45" s="685"/>
      <c r="AVO45" s="685"/>
      <c r="AVP45" s="685"/>
      <c r="AVQ45" s="685"/>
      <c r="AVR45" s="685"/>
      <c r="AVS45" s="685"/>
      <c r="AVT45" s="685"/>
      <c r="AVU45" s="685"/>
      <c r="AVV45" s="685"/>
      <c r="AVW45" s="685"/>
      <c r="AVX45" s="685"/>
      <c r="AVY45" s="685"/>
      <c r="AVZ45" s="685"/>
      <c r="AWA45" s="685"/>
      <c r="AWB45" s="685"/>
      <c r="AWC45" s="685"/>
      <c r="AWD45" s="685"/>
      <c r="AWE45" s="685"/>
      <c r="AWF45" s="685"/>
      <c r="AWG45" s="685"/>
      <c r="AWH45" s="685"/>
      <c r="AWI45" s="685"/>
      <c r="AWJ45" s="685"/>
      <c r="AWK45" s="685"/>
      <c r="AWL45" s="685"/>
      <c r="AWM45" s="685"/>
      <c r="AWN45" s="685"/>
      <c r="AWO45" s="685"/>
      <c r="AWP45" s="685"/>
      <c r="AWQ45" s="685"/>
      <c r="AWR45" s="685"/>
      <c r="AWS45" s="685"/>
      <c r="AWT45" s="685"/>
      <c r="AWU45" s="685"/>
      <c r="AWV45" s="685"/>
      <c r="AWW45" s="685"/>
      <c r="AWX45" s="685"/>
      <c r="AWY45" s="685"/>
      <c r="AWZ45" s="685"/>
      <c r="AXA45" s="685"/>
      <c r="AXB45" s="685"/>
      <c r="AXC45" s="685"/>
      <c r="AXD45" s="685"/>
      <c r="AXE45" s="685"/>
      <c r="AXF45" s="685"/>
      <c r="AXG45" s="685"/>
      <c r="AXH45" s="685"/>
      <c r="AXI45" s="685"/>
      <c r="AXJ45" s="685"/>
      <c r="AXK45" s="685"/>
      <c r="AXL45" s="685"/>
      <c r="AXM45" s="685"/>
      <c r="AXN45" s="685"/>
      <c r="AXO45" s="685"/>
      <c r="AXP45" s="685"/>
      <c r="AXQ45" s="685"/>
      <c r="AXR45" s="685"/>
      <c r="AXS45" s="685"/>
      <c r="AXT45" s="685"/>
      <c r="AXU45" s="685"/>
      <c r="AXV45" s="685"/>
      <c r="AXW45" s="685"/>
      <c r="AXX45" s="685"/>
      <c r="AXY45" s="685"/>
      <c r="AXZ45" s="685"/>
      <c r="AYA45" s="685"/>
      <c r="AYB45" s="685"/>
      <c r="AYC45" s="685"/>
      <c r="AYD45" s="685"/>
      <c r="AYE45" s="685"/>
      <c r="AYF45" s="685"/>
      <c r="AYG45" s="685"/>
      <c r="AYH45" s="685"/>
      <c r="AYI45" s="685"/>
      <c r="AYJ45" s="685"/>
      <c r="AYK45" s="685"/>
      <c r="AYL45" s="685"/>
      <c r="AYM45" s="685"/>
      <c r="AYN45" s="685"/>
      <c r="AYO45" s="685"/>
      <c r="AYP45" s="685"/>
      <c r="AYQ45" s="685"/>
      <c r="AYR45" s="685"/>
      <c r="AYS45" s="685"/>
      <c r="AYT45" s="685"/>
      <c r="AYU45" s="685"/>
      <c r="AYV45" s="685"/>
      <c r="AYW45" s="685"/>
      <c r="AYX45" s="685"/>
      <c r="AYY45" s="685"/>
      <c r="AYZ45" s="685"/>
      <c r="AZA45" s="685"/>
      <c r="AZB45" s="685"/>
      <c r="AZC45" s="685"/>
      <c r="AZD45" s="685"/>
      <c r="AZE45" s="685"/>
      <c r="AZF45" s="685"/>
      <c r="AZG45" s="685"/>
      <c r="AZH45" s="685"/>
      <c r="AZI45" s="685"/>
      <c r="AZJ45" s="685"/>
      <c r="AZK45" s="685"/>
      <c r="AZL45" s="685"/>
      <c r="AZM45" s="685"/>
      <c r="AZN45" s="685"/>
      <c r="AZO45" s="685"/>
      <c r="AZP45" s="685"/>
      <c r="AZQ45" s="685"/>
      <c r="AZR45" s="685"/>
      <c r="AZS45" s="685"/>
      <c r="AZT45" s="685"/>
      <c r="AZU45" s="685"/>
      <c r="AZV45" s="685"/>
      <c r="AZW45" s="685"/>
      <c r="AZX45" s="685"/>
      <c r="AZY45" s="685"/>
      <c r="AZZ45" s="685"/>
      <c r="BAA45" s="685"/>
      <c r="BAB45" s="685"/>
      <c r="BAC45" s="685"/>
      <c r="BAD45" s="685"/>
      <c r="BAE45" s="685"/>
      <c r="BAF45" s="685"/>
      <c r="BAG45" s="685"/>
      <c r="BAH45" s="685"/>
      <c r="BAI45" s="685"/>
      <c r="BAJ45" s="685"/>
      <c r="BAK45" s="685"/>
      <c r="BAL45" s="685"/>
      <c r="BAM45" s="685"/>
      <c r="BAN45" s="685"/>
      <c r="BAO45" s="685"/>
      <c r="BAP45" s="685"/>
      <c r="BAQ45" s="685"/>
      <c r="BAR45" s="685"/>
      <c r="BAS45" s="685"/>
      <c r="BAT45" s="685"/>
      <c r="BAU45" s="685"/>
      <c r="BAV45" s="685"/>
      <c r="BAW45" s="685"/>
      <c r="BAX45" s="685"/>
      <c r="BAY45" s="685"/>
      <c r="BAZ45" s="685"/>
      <c r="BBA45" s="685"/>
      <c r="BBB45" s="685"/>
      <c r="BBC45" s="685"/>
      <c r="BBD45" s="685"/>
      <c r="BBE45" s="685"/>
      <c r="BBF45" s="685"/>
      <c r="BBG45" s="685"/>
      <c r="BBH45" s="685"/>
      <c r="BBI45" s="685"/>
      <c r="BBJ45" s="685"/>
      <c r="BBK45" s="685"/>
      <c r="BBL45" s="685"/>
      <c r="BBM45" s="685"/>
      <c r="BBN45" s="685"/>
      <c r="BBO45" s="685"/>
      <c r="BBP45" s="685"/>
      <c r="BBQ45" s="685"/>
      <c r="BBR45" s="685"/>
      <c r="BBS45" s="685"/>
      <c r="BBT45" s="685"/>
      <c r="BBU45" s="685"/>
      <c r="BBV45" s="685"/>
      <c r="BBW45" s="685"/>
      <c r="BBX45" s="685"/>
      <c r="BBY45" s="685"/>
      <c r="BBZ45" s="685"/>
      <c r="BCA45" s="685"/>
      <c r="BCB45" s="685"/>
      <c r="BCC45" s="685"/>
      <c r="BCD45" s="685"/>
      <c r="BCE45" s="685"/>
      <c r="BCF45" s="685"/>
      <c r="BCG45" s="685"/>
      <c r="BCH45" s="685"/>
      <c r="BCI45" s="685"/>
      <c r="BCJ45" s="685"/>
      <c r="BCK45" s="685"/>
      <c r="BCL45" s="685"/>
      <c r="BCM45" s="685"/>
      <c r="BCN45" s="685"/>
      <c r="BCO45" s="685"/>
      <c r="BCP45" s="685"/>
      <c r="BCQ45" s="685"/>
      <c r="BCR45" s="685"/>
      <c r="BCS45" s="685"/>
      <c r="BCT45" s="685"/>
      <c r="BCU45" s="685"/>
      <c r="BCV45" s="685"/>
      <c r="BCW45" s="685"/>
      <c r="BCX45" s="685"/>
      <c r="BCY45" s="685"/>
      <c r="BCZ45" s="685"/>
      <c r="BDA45" s="685"/>
      <c r="BDB45" s="685"/>
      <c r="BDC45" s="685"/>
      <c r="BDD45" s="685"/>
      <c r="BDE45" s="685"/>
      <c r="BDF45" s="685"/>
      <c r="BDG45" s="685"/>
      <c r="BDH45" s="685"/>
      <c r="BDI45" s="685"/>
      <c r="BDJ45" s="685"/>
      <c r="BDK45" s="685"/>
      <c r="BDL45" s="685"/>
      <c r="BDM45" s="685"/>
      <c r="BDN45" s="685"/>
      <c r="BDO45" s="685"/>
      <c r="BDP45" s="685"/>
      <c r="BDQ45" s="685"/>
      <c r="BDR45" s="685"/>
      <c r="BDS45" s="685"/>
      <c r="BDT45" s="685"/>
      <c r="BDU45" s="685"/>
      <c r="BDV45" s="685"/>
      <c r="BDW45" s="685"/>
      <c r="BDX45" s="685"/>
      <c r="BDY45" s="685"/>
      <c r="BDZ45" s="685"/>
      <c r="BEA45" s="685"/>
      <c r="BEB45" s="685"/>
      <c r="BEC45" s="685"/>
      <c r="BED45" s="685"/>
      <c r="BEE45" s="685"/>
      <c r="BEF45" s="685"/>
      <c r="BEG45" s="685"/>
      <c r="BEH45" s="685"/>
      <c r="BEI45" s="685"/>
      <c r="BEJ45" s="685"/>
      <c r="BEK45" s="685"/>
      <c r="BEL45" s="685"/>
      <c r="BEM45" s="685"/>
      <c r="BEN45" s="685"/>
      <c r="BEO45" s="685"/>
      <c r="BEP45" s="685"/>
      <c r="BEQ45" s="685"/>
      <c r="BER45" s="685"/>
      <c r="BES45" s="685"/>
      <c r="BET45" s="685"/>
      <c r="BEU45" s="685"/>
      <c r="BEV45" s="685"/>
      <c r="BEW45" s="685"/>
      <c r="BEX45" s="685"/>
      <c r="BEY45" s="685"/>
      <c r="BEZ45" s="685"/>
      <c r="BFA45" s="685"/>
      <c r="BFB45" s="685"/>
      <c r="BFC45" s="685"/>
      <c r="BFD45" s="685"/>
      <c r="BFE45" s="685"/>
      <c r="BFF45" s="685"/>
      <c r="BFG45" s="685"/>
      <c r="BFH45" s="685"/>
      <c r="BFI45" s="685"/>
      <c r="BFJ45" s="685"/>
      <c r="BFK45" s="685"/>
      <c r="BFL45" s="685"/>
      <c r="BFM45" s="685"/>
      <c r="BFN45" s="685"/>
      <c r="BFO45" s="685"/>
      <c r="BFP45" s="685"/>
      <c r="BFQ45" s="685"/>
      <c r="BFR45" s="685"/>
      <c r="BFS45" s="685"/>
      <c r="BFT45" s="685"/>
      <c r="BFU45" s="685"/>
      <c r="BFV45" s="685"/>
      <c r="BFW45" s="685"/>
      <c r="BFX45" s="685"/>
      <c r="BFY45" s="685"/>
      <c r="BFZ45" s="685"/>
      <c r="BGA45" s="685"/>
      <c r="BGB45" s="685"/>
      <c r="BGC45" s="685"/>
      <c r="BGD45" s="685"/>
      <c r="BGE45" s="685"/>
      <c r="BGF45" s="685"/>
      <c r="BGG45" s="685"/>
      <c r="BGH45" s="685"/>
      <c r="BGI45" s="685"/>
      <c r="BGJ45" s="685"/>
      <c r="BGK45" s="685"/>
      <c r="BGL45" s="685"/>
      <c r="BGM45" s="685"/>
      <c r="BGN45" s="685"/>
      <c r="BGO45" s="685"/>
      <c r="BGP45" s="685"/>
      <c r="BGQ45" s="685"/>
      <c r="BGR45" s="685"/>
      <c r="BGS45" s="685"/>
      <c r="BGT45" s="685"/>
      <c r="BGU45" s="685"/>
      <c r="BGV45" s="685"/>
      <c r="BGW45" s="685"/>
      <c r="BGX45" s="685"/>
      <c r="BGY45" s="685"/>
      <c r="BGZ45" s="685"/>
      <c r="BHA45" s="685"/>
      <c r="BHB45" s="685"/>
      <c r="BHC45" s="685"/>
      <c r="BHD45" s="685"/>
      <c r="BHE45" s="685"/>
      <c r="BHF45" s="685"/>
      <c r="BHG45" s="685"/>
      <c r="BHH45" s="685"/>
      <c r="BHI45" s="685"/>
      <c r="BHJ45" s="685"/>
      <c r="BHK45" s="685"/>
      <c r="BHL45" s="685"/>
      <c r="BHM45" s="685"/>
      <c r="BHN45" s="685"/>
      <c r="BHO45" s="685"/>
      <c r="BHP45" s="685"/>
      <c r="BHQ45" s="685"/>
      <c r="BHR45" s="685"/>
      <c r="BHS45" s="685"/>
      <c r="BHT45" s="685"/>
      <c r="BHU45" s="685"/>
      <c r="BHV45" s="685"/>
      <c r="BHW45" s="685"/>
      <c r="BHX45" s="685"/>
      <c r="BHY45" s="685"/>
      <c r="BHZ45" s="685"/>
      <c r="BIA45" s="685"/>
      <c r="BIB45" s="685"/>
      <c r="BIC45" s="685"/>
      <c r="BID45" s="685"/>
      <c r="BIE45" s="685"/>
      <c r="BIF45" s="685"/>
      <c r="BIG45" s="685"/>
      <c r="BIH45" s="685"/>
      <c r="BII45" s="685"/>
      <c r="BIJ45" s="685"/>
      <c r="BIK45" s="685"/>
      <c r="BIL45" s="685"/>
      <c r="BIM45" s="685"/>
      <c r="BIN45" s="685"/>
      <c r="BIO45" s="685"/>
      <c r="BIP45" s="685"/>
      <c r="BIQ45" s="685"/>
      <c r="BIR45" s="685"/>
      <c r="BIS45" s="685"/>
      <c r="BIT45" s="685"/>
      <c r="BIU45" s="685"/>
      <c r="BIV45" s="685"/>
      <c r="BIW45" s="685"/>
      <c r="BIX45" s="685"/>
      <c r="BIY45" s="685"/>
      <c r="BIZ45" s="685"/>
      <c r="BJA45" s="685"/>
      <c r="BJB45" s="685"/>
      <c r="BJC45" s="685"/>
      <c r="BJD45" s="685"/>
      <c r="BJE45" s="685"/>
      <c r="BJF45" s="685"/>
      <c r="BJG45" s="685"/>
      <c r="BJH45" s="685"/>
      <c r="BJI45" s="685"/>
      <c r="BJJ45" s="685"/>
      <c r="BJK45" s="685"/>
      <c r="BJL45" s="685"/>
      <c r="BJM45" s="685"/>
      <c r="BJN45" s="685"/>
      <c r="BJO45" s="685"/>
      <c r="BJP45" s="685"/>
      <c r="BJQ45" s="685"/>
      <c r="BJR45" s="685"/>
      <c r="BJS45" s="685"/>
      <c r="BJT45" s="685"/>
      <c r="BJU45" s="685"/>
      <c r="BJV45" s="685"/>
      <c r="BJW45" s="685"/>
      <c r="BJX45" s="685"/>
      <c r="BJY45" s="685"/>
      <c r="BJZ45" s="685"/>
      <c r="BKA45" s="685"/>
      <c r="BKB45" s="685"/>
      <c r="BKC45" s="685"/>
      <c r="BKD45" s="685"/>
      <c r="BKE45" s="685"/>
      <c r="BKF45" s="685"/>
      <c r="BKG45" s="685"/>
      <c r="BKH45" s="685"/>
      <c r="BKI45" s="685"/>
      <c r="BKJ45" s="685"/>
      <c r="BKK45" s="685"/>
      <c r="BKL45" s="685"/>
      <c r="BKM45" s="685"/>
      <c r="BKN45" s="685"/>
      <c r="BKO45" s="685"/>
      <c r="BKP45" s="685"/>
      <c r="BKQ45" s="685"/>
      <c r="BKR45" s="685"/>
      <c r="BKS45" s="685"/>
      <c r="BKT45" s="685"/>
      <c r="BKU45" s="685"/>
      <c r="BKV45" s="685"/>
      <c r="BKW45" s="685"/>
      <c r="BKX45" s="685"/>
      <c r="BKY45" s="685"/>
      <c r="BKZ45" s="685"/>
      <c r="BLA45" s="685"/>
      <c r="BLB45" s="685"/>
      <c r="BLC45" s="685"/>
      <c r="BLD45" s="685"/>
      <c r="BLE45" s="685"/>
      <c r="BLF45" s="685"/>
      <c r="BLG45" s="685"/>
      <c r="BLH45" s="685"/>
      <c r="BLI45" s="685"/>
      <c r="BLJ45" s="685"/>
      <c r="BLK45" s="685"/>
      <c r="BLL45" s="685"/>
      <c r="BLM45" s="685"/>
      <c r="BLN45" s="685"/>
      <c r="BLO45" s="685"/>
      <c r="BLP45" s="685"/>
      <c r="BLQ45" s="685"/>
      <c r="BLR45" s="685"/>
      <c r="BLS45" s="685"/>
      <c r="BLT45" s="685"/>
      <c r="BLU45" s="685"/>
      <c r="BLV45" s="685"/>
      <c r="BLW45" s="685"/>
      <c r="BLX45" s="685"/>
      <c r="BLY45" s="685"/>
      <c r="BLZ45" s="685"/>
      <c r="BMA45" s="685"/>
      <c r="BMB45" s="685"/>
      <c r="BMC45" s="685"/>
      <c r="BMD45" s="685"/>
      <c r="BME45" s="685"/>
      <c r="BMF45" s="685"/>
      <c r="BMG45" s="685"/>
      <c r="BMH45" s="685"/>
      <c r="BMI45" s="685"/>
      <c r="BMJ45" s="685"/>
      <c r="BMK45" s="685"/>
      <c r="BML45" s="685"/>
      <c r="BMM45" s="685"/>
      <c r="BMN45" s="685"/>
      <c r="BMO45" s="685"/>
      <c r="BMP45" s="685"/>
      <c r="BMQ45" s="685"/>
      <c r="BMR45" s="685"/>
      <c r="BMS45" s="685"/>
      <c r="BMT45" s="685"/>
      <c r="BMU45" s="685"/>
      <c r="BMV45" s="685"/>
      <c r="BMW45" s="685"/>
      <c r="BMX45" s="685"/>
      <c r="BMY45" s="685"/>
      <c r="BMZ45" s="685"/>
      <c r="BNA45" s="685"/>
      <c r="BNB45" s="685"/>
      <c r="BNC45" s="685"/>
      <c r="BND45" s="685"/>
      <c r="BNE45" s="685"/>
      <c r="BNF45" s="685"/>
      <c r="BNG45" s="685"/>
      <c r="BNH45" s="685"/>
      <c r="BNI45" s="685"/>
      <c r="BNJ45" s="685"/>
      <c r="BNK45" s="685"/>
      <c r="BNL45" s="685"/>
      <c r="BNM45" s="685"/>
      <c r="BNN45" s="685"/>
      <c r="BNO45" s="685"/>
      <c r="BNP45" s="685"/>
      <c r="BNQ45" s="685"/>
      <c r="BNR45" s="685"/>
      <c r="BNS45" s="685"/>
      <c r="BNT45" s="685"/>
      <c r="BNU45" s="685"/>
      <c r="BNV45" s="685"/>
      <c r="BNW45" s="685"/>
      <c r="BNX45" s="685"/>
      <c r="BNY45" s="685"/>
      <c r="BNZ45" s="685"/>
      <c r="BOA45" s="685"/>
      <c r="BOB45" s="685"/>
      <c r="BOC45" s="685"/>
      <c r="BOD45" s="685"/>
      <c r="BOE45" s="685"/>
      <c r="BOF45" s="685"/>
      <c r="BOG45" s="685"/>
      <c r="BOH45" s="685"/>
      <c r="BOI45" s="685"/>
      <c r="BOJ45" s="685"/>
      <c r="BOK45" s="685"/>
      <c r="BOL45" s="685"/>
      <c r="BOM45" s="685"/>
      <c r="BON45" s="685"/>
      <c r="BOO45" s="685"/>
      <c r="BOP45" s="685"/>
      <c r="BOQ45" s="685"/>
      <c r="BOR45" s="685"/>
      <c r="BOS45" s="685"/>
      <c r="BOT45" s="685"/>
      <c r="BOU45" s="685"/>
      <c r="BOV45" s="685"/>
      <c r="BOW45" s="685"/>
      <c r="BOX45" s="685"/>
      <c r="BOY45" s="685"/>
      <c r="BOZ45" s="685"/>
      <c r="BPA45" s="685"/>
      <c r="BPB45" s="685"/>
      <c r="BPC45" s="685"/>
      <c r="BPD45" s="685"/>
      <c r="BPE45" s="685"/>
      <c r="BPF45" s="685"/>
      <c r="BPG45" s="685"/>
      <c r="BPH45" s="685"/>
      <c r="BPI45" s="685"/>
      <c r="BPJ45" s="685"/>
      <c r="BPK45" s="685"/>
      <c r="BPL45" s="685"/>
      <c r="BPM45" s="685"/>
      <c r="BPN45" s="685"/>
      <c r="BPO45" s="685"/>
      <c r="BPP45" s="685"/>
      <c r="BPQ45" s="685"/>
      <c r="BPR45" s="685"/>
      <c r="BPS45" s="685"/>
      <c r="BPT45" s="685"/>
      <c r="BPU45" s="685"/>
      <c r="BPV45" s="685"/>
      <c r="BPW45" s="685"/>
      <c r="BPX45" s="685"/>
      <c r="BPY45" s="685"/>
      <c r="BPZ45" s="685"/>
      <c r="BQA45" s="685"/>
      <c r="BQB45" s="685"/>
      <c r="BQC45" s="685"/>
      <c r="BQD45" s="685"/>
      <c r="BQE45" s="685"/>
      <c r="BQF45" s="685"/>
      <c r="BQG45" s="685"/>
      <c r="BQH45" s="685"/>
      <c r="BQI45" s="685"/>
      <c r="BQJ45" s="685"/>
      <c r="BQK45" s="685"/>
      <c r="BQL45" s="685"/>
      <c r="BQM45" s="685"/>
      <c r="BQN45" s="685"/>
      <c r="BQO45" s="685"/>
      <c r="BQP45" s="685"/>
      <c r="BQQ45" s="685"/>
      <c r="BQR45" s="685"/>
      <c r="BQS45" s="685"/>
      <c r="BQT45" s="685"/>
      <c r="BQU45" s="685"/>
      <c r="BQV45" s="685"/>
      <c r="BQW45" s="685"/>
      <c r="BQX45" s="685"/>
      <c r="BQY45" s="685"/>
      <c r="BQZ45" s="685"/>
      <c r="BRA45" s="685"/>
      <c r="BRB45" s="685"/>
      <c r="BRC45" s="685"/>
      <c r="BRD45" s="685"/>
      <c r="BRE45" s="685"/>
      <c r="BRF45" s="685"/>
      <c r="BRG45" s="685"/>
      <c r="BRH45" s="685"/>
      <c r="BRI45" s="685"/>
      <c r="BRJ45" s="685"/>
      <c r="BRK45" s="685"/>
      <c r="BRL45" s="685"/>
      <c r="BRM45" s="685"/>
      <c r="BRN45" s="685"/>
      <c r="BRO45" s="685"/>
      <c r="BRP45" s="685"/>
      <c r="BRQ45" s="685"/>
      <c r="BRR45" s="685"/>
      <c r="BRS45" s="685"/>
      <c r="BRT45" s="685"/>
      <c r="BRU45" s="685"/>
      <c r="BRV45" s="685"/>
      <c r="BRW45" s="685"/>
      <c r="BRX45" s="685"/>
      <c r="BRY45" s="685"/>
      <c r="BRZ45" s="685"/>
      <c r="BSA45" s="685"/>
      <c r="BSB45" s="685"/>
      <c r="BSC45" s="685"/>
      <c r="BSD45" s="685"/>
      <c r="BSE45" s="685"/>
      <c r="BSF45" s="685"/>
      <c r="BSG45" s="685"/>
      <c r="BSH45" s="685"/>
      <c r="BSI45" s="685"/>
      <c r="BSJ45" s="685"/>
      <c r="BSK45" s="685"/>
      <c r="BSL45" s="685"/>
      <c r="BSM45" s="685"/>
      <c r="BSN45" s="685"/>
      <c r="BSO45" s="685"/>
      <c r="BSP45" s="685"/>
      <c r="BSQ45" s="685"/>
      <c r="BSR45" s="685"/>
      <c r="BSS45" s="685"/>
      <c r="BST45" s="685"/>
      <c r="BSU45" s="685"/>
      <c r="BSV45" s="685"/>
      <c r="BSW45" s="685"/>
      <c r="BSX45" s="685"/>
      <c r="BSY45" s="685"/>
      <c r="BSZ45" s="685"/>
      <c r="BTA45" s="685"/>
      <c r="BTB45" s="685"/>
      <c r="BTC45" s="685"/>
      <c r="BTD45" s="685"/>
      <c r="BTE45" s="685"/>
      <c r="BTF45" s="685"/>
      <c r="BTG45" s="685"/>
      <c r="BTH45" s="685"/>
      <c r="BTI45" s="685"/>
      <c r="BTJ45" s="685"/>
      <c r="BTK45" s="685"/>
      <c r="BTL45" s="685"/>
      <c r="BTM45" s="685"/>
      <c r="BTN45" s="685"/>
      <c r="BTO45" s="685"/>
      <c r="BTP45" s="685"/>
      <c r="BTQ45" s="685"/>
      <c r="BTR45" s="685"/>
      <c r="BTS45" s="685"/>
      <c r="BTT45" s="685"/>
      <c r="BTU45" s="685"/>
      <c r="BTV45" s="685"/>
      <c r="BTW45" s="685"/>
      <c r="BTX45" s="685"/>
      <c r="BTY45" s="685"/>
      <c r="BTZ45" s="685"/>
      <c r="BUA45" s="685"/>
      <c r="BUB45" s="685"/>
      <c r="BUC45" s="685"/>
      <c r="BUD45" s="685"/>
      <c r="BUE45" s="685"/>
      <c r="BUF45" s="685"/>
      <c r="BUG45" s="685"/>
      <c r="BUH45" s="685"/>
      <c r="BUI45" s="685"/>
      <c r="BUJ45" s="685"/>
      <c r="BUK45" s="685"/>
      <c r="BUL45" s="685"/>
      <c r="BUM45" s="685"/>
      <c r="BUN45" s="685"/>
      <c r="BUO45" s="685"/>
      <c r="BUP45" s="685"/>
      <c r="BUQ45" s="685"/>
      <c r="BUR45" s="685"/>
      <c r="BUS45" s="685"/>
      <c r="BUT45" s="685"/>
      <c r="BUU45" s="685"/>
      <c r="BUV45" s="685"/>
      <c r="BUW45" s="685"/>
      <c r="BUX45" s="685"/>
      <c r="BUY45" s="685"/>
      <c r="BUZ45" s="685"/>
      <c r="BVA45" s="685"/>
      <c r="BVB45" s="685"/>
      <c r="BVC45" s="685"/>
      <c r="BVD45" s="685"/>
      <c r="BVE45" s="685"/>
      <c r="BVF45" s="685"/>
      <c r="BVG45" s="685"/>
      <c r="BVH45" s="685"/>
      <c r="BVI45" s="685"/>
      <c r="BVJ45" s="685"/>
      <c r="BVK45" s="685"/>
      <c r="BVL45" s="685"/>
      <c r="BVM45" s="685"/>
      <c r="BVN45" s="685"/>
      <c r="BVO45" s="685"/>
      <c r="BVP45" s="685"/>
      <c r="BVQ45" s="685"/>
      <c r="BVR45" s="685"/>
      <c r="BVS45" s="685"/>
      <c r="BVT45" s="685"/>
      <c r="BVU45" s="685"/>
      <c r="BVV45" s="685"/>
      <c r="BVW45" s="685"/>
      <c r="BVX45" s="685"/>
      <c r="BVY45" s="685"/>
      <c r="BVZ45" s="685"/>
      <c r="BWA45" s="685"/>
      <c r="BWB45" s="685"/>
      <c r="BWC45" s="685"/>
      <c r="BWD45" s="685"/>
      <c r="BWE45" s="685"/>
      <c r="BWF45" s="685"/>
      <c r="BWG45" s="685"/>
      <c r="BWH45" s="685"/>
      <c r="BWI45" s="685"/>
      <c r="BWJ45" s="685"/>
      <c r="BWK45" s="685"/>
      <c r="BWL45" s="685"/>
      <c r="BWM45" s="685"/>
      <c r="BWN45" s="685"/>
      <c r="BWO45" s="685"/>
      <c r="BWP45" s="685"/>
      <c r="BWQ45" s="685"/>
      <c r="BWR45" s="685"/>
      <c r="BWS45" s="685"/>
      <c r="BWT45" s="685"/>
      <c r="BWU45" s="685"/>
      <c r="BWV45" s="685"/>
      <c r="BWW45" s="685"/>
      <c r="BWX45" s="685"/>
      <c r="BWY45" s="685"/>
      <c r="BWZ45" s="685"/>
      <c r="BXA45" s="685"/>
      <c r="BXB45" s="685"/>
      <c r="BXC45" s="685"/>
      <c r="BXD45" s="685"/>
      <c r="BXE45" s="685"/>
      <c r="BXF45" s="685"/>
      <c r="BXG45" s="685"/>
      <c r="BXH45" s="685"/>
      <c r="BXI45" s="685"/>
      <c r="BXJ45" s="685"/>
      <c r="BXK45" s="685"/>
      <c r="BXL45" s="685"/>
      <c r="BXM45" s="685"/>
      <c r="BXN45" s="685"/>
      <c r="BXO45" s="685"/>
      <c r="BXP45" s="685"/>
      <c r="BXQ45" s="685"/>
      <c r="BXR45" s="685"/>
      <c r="BXS45" s="685"/>
      <c r="BXT45" s="685"/>
      <c r="BXU45" s="685"/>
      <c r="BXV45" s="685"/>
      <c r="BXW45" s="685"/>
      <c r="BXX45" s="685"/>
      <c r="BXY45" s="685"/>
      <c r="BXZ45" s="685"/>
      <c r="BYA45" s="685"/>
      <c r="BYB45" s="685"/>
      <c r="BYC45" s="685"/>
      <c r="BYD45" s="685"/>
      <c r="BYE45" s="685"/>
      <c r="BYF45" s="685"/>
      <c r="BYG45" s="685"/>
      <c r="BYH45" s="685"/>
      <c r="BYI45" s="685"/>
      <c r="BYJ45" s="685"/>
      <c r="BYK45" s="685"/>
      <c r="BYL45" s="685"/>
      <c r="BYM45" s="685"/>
      <c r="BYN45" s="685"/>
      <c r="BYO45" s="685"/>
      <c r="BYP45" s="685"/>
      <c r="BYQ45" s="685"/>
      <c r="BYR45" s="685"/>
      <c r="BYS45" s="685"/>
      <c r="BYT45" s="685"/>
      <c r="BYU45" s="685"/>
      <c r="BYV45" s="685"/>
      <c r="BYW45" s="685"/>
      <c r="BYX45" s="685"/>
      <c r="BYY45" s="685"/>
      <c r="BYZ45" s="685"/>
      <c r="BZA45" s="685"/>
      <c r="BZB45" s="685"/>
      <c r="BZC45" s="685"/>
      <c r="BZD45" s="685"/>
      <c r="BZE45" s="685"/>
      <c r="BZF45" s="685"/>
      <c r="BZG45" s="685"/>
      <c r="BZH45" s="685"/>
      <c r="BZI45" s="685"/>
      <c r="BZJ45" s="685"/>
      <c r="BZK45" s="685"/>
      <c r="BZL45" s="685"/>
      <c r="BZM45" s="685"/>
      <c r="BZN45" s="685"/>
      <c r="BZO45" s="685"/>
      <c r="BZP45" s="685"/>
      <c r="BZQ45" s="685"/>
      <c r="BZR45" s="685"/>
      <c r="BZS45" s="685"/>
      <c r="BZT45" s="685"/>
      <c r="BZU45" s="685"/>
      <c r="BZV45" s="685"/>
      <c r="BZW45" s="685"/>
      <c r="BZX45" s="685"/>
      <c r="BZY45" s="685"/>
      <c r="BZZ45" s="685"/>
      <c r="CAA45" s="685"/>
      <c r="CAB45" s="685"/>
      <c r="CAC45" s="685"/>
      <c r="CAD45" s="685"/>
      <c r="CAE45" s="685"/>
      <c r="CAF45" s="685"/>
      <c r="CAG45" s="685"/>
      <c r="CAH45" s="685"/>
      <c r="CAI45" s="685"/>
      <c r="CAJ45" s="685"/>
      <c r="CAK45" s="685"/>
      <c r="CAL45" s="685"/>
      <c r="CAM45" s="685"/>
      <c r="CAN45" s="685"/>
      <c r="CAO45" s="685"/>
      <c r="CAP45" s="685"/>
      <c r="CAQ45" s="685"/>
      <c r="CAR45" s="685"/>
      <c r="CAS45" s="685"/>
      <c r="CAT45" s="685"/>
      <c r="CAU45" s="685"/>
      <c r="CAV45" s="685"/>
      <c r="CAW45" s="685"/>
      <c r="CAX45" s="685"/>
      <c r="CAY45" s="685"/>
      <c r="CAZ45" s="685"/>
      <c r="CBA45" s="685"/>
      <c r="CBB45" s="685"/>
      <c r="CBC45" s="685"/>
      <c r="CBD45" s="685"/>
      <c r="CBE45" s="685"/>
      <c r="CBF45" s="685"/>
      <c r="CBG45" s="685"/>
      <c r="CBH45" s="685"/>
      <c r="CBI45" s="685"/>
      <c r="CBJ45" s="685"/>
      <c r="CBK45" s="685"/>
      <c r="CBL45" s="685"/>
      <c r="CBM45" s="685"/>
      <c r="CBN45" s="685"/>
      <c r="CBO45" s="685"/>
      <c r="CBP45" s="685"/>
      <c r="CBQ45" s="685"/>
      <c r="CBR45" s="685"/>
      <c r="CBS45" s="685"/>
      <c r="CBT45" s="685"/>
      <c r="CBU45" s="685"/>
      <c r="CBV45" s="685"/>
      <c r="CBW45" s="685"/>
      <c r="CBX45" s="685"/>
      <c r="CBY45" s="685"/>
      <c r="CBZ45" s="685"/>
      <c r="CCA45" s="685"/>
      <c r="CCB45" s="685"/>
      <c r="CCC45" s="685"/>
      <c r="CCD45" s="685"/>
      <c r="CCE45" s="685"/>
      <c r="CCF45" s="685"/>
      <c r="CCG45" s="685"/>
      <c r="CCH45" s="685"/>
      <c r="CCI45" s="685"/>
      <c r="CCJ45" s="685"/>
      <c r="CCK45" s="685"/>
      <c r="CCL45" s="685"/>
      <c r="CCM45" s="685"/>
      <c r="CCN45" s="685"/>
      <c r="CCO45" s="685"/>
      <c r="CCP45" s="685"/>
      <c r="CCQ45" s="685"/>
      <c r="CCR45" s="685"/>
      <c r="CCS45" s="685"/>
      <c r="CCT45" s="685"/>
      <c r="CCU45" s="685"/>
      <c r="CCV45" s="685"/>
      <c r="CCW45" s="685"/>
      <c r="CCX45" s="685"/>
      <c r="CCY45" s="685"/>
      <c r="CCZ45" s="685"/>
      <c r="CDA45" s="685"/>
      <c r="CDB45" s="685"/>
      <c r="CDC45" s="685"/>
      <c r="CDD45" s="685"/>
      <c r="CDE45" s="685"/>
      <c r="CDF45" s="685"/>
      <c r="CDG45" s="685"/>
      <c r="CDH45" s="685"/>
      <c r="CDI45" s="685"/>
      <c r="CDJ45" s="685"/>
      <c r="CDK45" s="685"/>
      <c r="CDL45" s="685"/>
      <c r="CDM45" s="685"/>
      <c r="CDN45" s="685"/>
      <c r="CDO45" s="685"/>
      <c r="CDP45" s="685"/>
      <c r="CDQ45" s="685"/>
      <c r="CDR45" s="685"/>
      <c r="CDS45" s="685"/>
      <c r="CDT45" s="685"/>
      <c r="CDU45" s="685"/>
      <c r="CDV45" s="685"/>
      <c r="CDW45" s="685"/>
      <c r="CDX45" s="685"/>
      <c r="CDY45" s="685"/>
      <c r="CDZ45" s="685"/>
      <c r="CEA45" s="685"/>
      <c r="CEB45" s="685"/>
      <c r="CEC45" s="685"/>
      <c r="CED45" s="685"/>
      <c r="CEE45" s="685"/>
      <c r="CEF45" s="685"/>
      <c r="CEG45" s="685"/>
      <c r="CEH45" s="685"/>
      <c r="CEI45" s="685"/>
      <c r="CEJ45" s="685"/>
      <c r="CEK45" s="685"/>
      <c r="CEL45" s="685"/>
      <c r="CEM45" s="685"/>
      <c r="CEN45" s="685"/>
      <c r="CEO45" s="685"/>
      <c r="CEP45" s="685"/>
      <c r="CEQ45" s="685"/>
      <c r="CER45" s="685"/>
      <c r="CES45" s="685"/>
      <c r="CET45" s="685"/>
      <c r="CEU45" s="685"/>
      <c r="CEV45" s="685"/>
      <c r="CEW45" s="685"/>
      <c r="CEX45" s="685"/>
      <c r="CEY45" s="685"/>
      <c r="CEZ45" s="685"/>
      <c r="CFA45" s="685"/>
      <c r="CFB45" s="685"/>
      <c r="CFC45" s="685"/>
      <c r="CFD45" s="685"/>
      <c r="CFE45" s="685"/>
      <c r="CFF45" s="685"/>
      <c r="CFG45" s="685"/>
      <c r="CFH45" s="685"/>
      <c r="CFI45" s="685"/>
      <c r="CFJ45" s="685"/>
      <c r="CFK45" s="685"/>
      <c r="CFL45" s="685"/>
      <c r="CFM45" s="685"/>
      <c r="CFN45" s="685"/>
      <c r="CFO45" s="685"/>
      <c r="CFP45" s="685"/>
      <c r="CFQ45" s="685"/>
      <c r="CFR45" s="685"/>
      <c r="CFS45" s="685"/>
      <c r="CFT45" s="685"/>
      <c r="CFU45" s="685"/>
      <c r="CFV45" s="685"/>
      <c r="CFW45" s="685"/>
      <c r="CFX45" s="685"/>
      <c r="CFY45" s="685"/>
      <c r="CFZ45" s="685"/>
      <c r="CGA45" s="685"/>
      <c r="CGB45" s="685"/>
      <c r="CGC45" s="685"/>
      <c r="CGD45" s="685"/>
      <c r="CGE45" s="685"/>
      <c r="CGF45" s="685"/>
      <c r="CGG45" s="685"/>
      <c r="CGH45" s="685"/>
      <c r="CGI45" s="685"/>
      <c r="CGJ45" s="685"/>
      <c r="CGK45" s="685"/>
      <c r="CGL45" s="685"/>
      <c r="CGM45" s="685"/>
      <c r="CGN45" s="685"/>
      <c r="CGO45" s="685"/>
      <c r="CGP45" s="685"/>
      <c r="CGQ45" s="685"/>
      <c r="CGR45" s="685"/>
      <c r="CGS45" s="685"/>
      <c r="CGT45" s="685"/>
      <c r="CGU45" s="685"/>
      <c r="CGV45" s="685"/>
      <c r="CGW45" s="685"/>
      <c r="CGX45" s="685"/>
      <c r="CGY45" s="685"/>
      <c r="CGZ45" s="685"/>
      <c r="CHA45" s="685"/>
      <c r="CHB45" s="685"/>
      <c r="CHC45" s="685"/>
      <c r="CHD45" s="685"/>
      <c r="CHE45" s="685"/>
      <c r="CHF45" s="685"/>
      <c r="CHG45" s="685"/>
      <c r="CHH45" s="685"/>
      <c r="CHI45" s="685"/>
      <c r="CHJ45" s="685"/>
      <c r="CHK45" s="685"/>
      <c r="CHL45" s="685"/>
      <c r="CHM45" s="685"/>
      <c r="CHN45" s="685"/>
      <c r="CHO45" s="685"/>
      <c r="CHP45" s="685"/>
      <c r="CHQ45" s="685"/>
      <c r="CHR45" s="685"/>
      <c r="CHS45" s="685"/>
      <c r="CHT45" s="685"/>
      <c r="CHU45" s="685"/>
      <c r="CHV45" s="685"/>
      <c r="CHW45" s="685"/>
      <c r="CHX45" s="685"/>
      <c r="CHY45" s="685"/>
      <c r="CHZ45" s="685"/>
      <c r="CIA45" s="685"/>
      <c r="CIB45" s="685"/>
      <c r="CIC45" s="685"/>
      <c r="CID45" s="685"/>
      <c r="CIE45" s="685"/>
      <c r="CIF45" s="685"/>
      <c r="CIG45" s="685"/>
      <c r="CIH45" s="685"/>
      <c r="CII45" s="685"/>
      <c r="CIJ45" s="685"/>
      <c r="CIK45" s="685"/>
      <c r="CIL45" s="685"/>
      <c r="CIM45" s="685"/>
      <c r="CIN45" s="685"/>
      <c r="CIO45" s="685"/>
      <c r="CIP45" s="685"/>
      <c r="CIQ45" s="685"/>
      <c r="CIR45" s="685"/>
      <c r="CIS45" s="685"/>
      <c r="CIT45" s="685"/>
      <c r="CIU45" s="685"/>
      <c r="CIV45" s="685"/>
      <c r="CIW45" s="685"/>
      <c r="CIX45" s="685"/>
      <c r="CIY45" s="685"/>
      <c r="CIZ45" s="685"/>
      <c r="CJA45" s="685"/>
      <c r="CJB45" s="685"/>
      <c r="CJC45" s="685"/>
      <c r="CJD45" s="685"/>
      <c r="CJE45" s="685"/>
      <c r="CJF45" s="685"/>
      <c r="CJG45" s="685"/>
      <c r="CJH45" s="685"/>
      <c r="CJI45" s="685"/>
      <c r="CJJ45" s="685"/>
      <c r="CJK45" s="685"/>
      <c r="CJL45" s="685"/>
      <c r="CJM45" s="685"/>
      <c r="CJN45" s="685"/>
      <c r="CJO45" s="685"/>
      <c r="CJP45" s="685"/>
      <c r="CJQ45" s="685"/>
      <c r="CJR45" s="685"/>
      <c r="CJS45" s="685"/>
      <c r="CJT45" s="685"/>
      <c r="CJU45" s="685"/>
      <c r="CJV45" s="685"/>
      <c r="CJW45" s="685"/>
      <c r="CJX45" s="685"/>
      <c r="CJY45" s="685"/>
      <c r="CJZ45" s="685"/>
      <c r="CKA45" s="685"/>
      <c r="CKB45" s="685"/>
      <c r="CKC45" s="685"/>
      <c r="CKD45" s="685"/>
      <c r="CKE45" s="685"/>
      <c r="CKF45" s="685"/>
      <c r="CKG45" s="685"/>
      <c r="CKH45" s="685"/>
      <c r="CKI45" s="685"/>
      <c r="CKJ45" s="685"/>
      <c r="CKK45" s="685"/>
      <c r="CKL45" s="685"/>
      <c r="CKM45" s="685"/>
      <c r="CKN45" s="685"/>
      <c r="CKO45" s="685"/>
      <c r="CKP45" s="685"/>
      <c r="CKQ45" s="685"/>
      <c r="CKR45" s="685"/>
      <c r="CKS45" s="685"/>
      <c r="CKT45" s="685"/>
      <c r="CKU45" s="685"/>
      <c r="CKV45" s="685"/>
      <c r="CKW45" s="685"/>
      <c r="CKX45" s="685"/>
      <c r="CKY45" s="685"/>
      <c r="CKZ45" s="685"/>
      <c r="CLA45" s="685"/>
      <c r="CLB45" s="685"/>
      <c r="CLC45" s="685"/>
      <c r="CLD45" s="685"/>
      <c r="CLE45" s="685"/>
      <c r="CLF45" s="685"/>
      <c r="CLG45" s="685"/>
      <c r="CLH45" s="685"/>
      <c r="CLI45" s="685"/>
      <c r="CLJ45" s="685"/>
      <c r="CLK45" s="685"/>
      <c r="CLL45" s="685"/>
      <c r="CLM45" s="685"/>
      <c r="CLN45" s="685"/>
      <c r="CLO45" s="685"/>
      <c r="CLP45" s="685"/>
      <c r="CLQ45" s="685"/>
      <c r="CLR45" s="685"/>
      <c r="CLS45" s="685"/>
      <c r="CLT45" s="685"/>
      <c r="CLU45" s="685"/>
      <c r="CLV45" s="685"/>
      <c r="CLW45" s="685"/>
      <c r="CLX45" s="685"/>
      <c r="CLY45" s="685"/>
      <c r="CLZ45" s="685"/>
      <c r="CMA45" s="685"/>
      <c r="CMB45" s="685"/>
      <c r="CMC45" s="685"/>
      <c r="CMD45" s="685"/>
      <c r="CME45" s="685"/>
      <c r="CMF45" s="685"/>
      <c r="CMG45" s="685"/>
      <c r="CMH45" s="685"/>
      <c r="CMI45" s="685"/>
      <c r="CMJ45" s="685"/>
      <c r="CMK45" s="685"/>
      <c r="CML45" s="685"/>
      <c r="CMM45" s="685"/>
      <c r="CMN45" s="685"/>
      <c r="CMO45" s="685"/>
      <c r="CMP45" s="685"/>
      <c r="CMQ45" s="685"/>
      <c r="CMR45" s="685"/>
      <c r="CMS45" s="685"/>
      <c r="CMT45" s="685"/>
      <c r="CMU45" s="685"/>
      <c r="CMV45" s="685"/>
      <c r="CMW45" s="685"/>
      <c r="CMX45" s="685"/>
      <c r="CMY45" s="685"/>
      <c r="CMZ45" s="685"/>
      <c r="CNA45" s="685"/>
      <c r="CNB45" s="685"/>
      <c r="CNC45" s="685"/>
      <c r="CND45" s="685"/>
      <c r="CNE45" s="685"/>
      <c r="CNF45" s="685"/>
      <c r="CNG45" s="685"/>
      <c r="CNH45" s="685"/>
      <c r="CNI45" s="685"/>
      <c r="CNJ45" s="685"/>
      <c r="CNK45" s="685"/>
      <c r="CNL45" s="685"/>
      <c r="CNM45" s="685"/>
      <c r="CNN45" s="685"/>
      <c r="CNO45" s="685"/>
      <c r="CNP45" s="685"/>
      <c r="CNQ45" s="685"/>
      <c r="CNR45" s="685"/>
      <c r="CNS45" s="685"/>
      <c r="CNT45" s="685"/>
      <c r="CNU45" s="685"/>
      <c r="CNV45" s="685"/>
      <c r="CNW45" s="685"/>
      <c r="CNX45" s="685"/>
      <c r="CNY45" s="685"/>
      <c r="CNZ45" s="685"/>
      <c r="COA45" s="685"/>
      <c r="COB45" s="685"/>
      <c r="COC45" s="685"/>
      <c r="COD45" s="685"/>
      <c r="COE45" s="685"/>
      <c r="COF45" s="685"/>
      <c r="COG45" s="685"/>
      <c r="COH45" s="685"/>
      <c r="COI45" s="685"/>
      <c r="COJ45" s="685"/>
      <c r="COK45" s="685"/>
      <c r="COL45" s="685"/>
      <c r="COM45" s="685"/>
      <c r="CON45" s="685"/>
      <c r="COO45" s="685"/>
      <c r="COP45" s="685"/>
      <c r="COQ45" s="685"/>
      <c r="COR45" s="685"/>
      <c r="COS45" s="685"/>
      <c r="COT45" s="685"/>
      <c r="COU45" s="685"/>
      <c r="COV45" s="685"/>
      <c r="COW45" s="685"/>
      <c r="COX45" s="685"/>
      <c r="COY45" s="685"/>
      <c r="COZ45" s="685"/>
      <c r="CPA45" s="685"/>
      <c r="CPB45" s="685"/>
      <c r="CPC45" s="685"/>
      <c r="CPD45" s="685"/>
      <c r="CPE45" s="685"/>
      <c r="CPF45" s="685"/>
      <c r="CPG45" s="685"/>
      <c r="CPH45" s="685"/>
      <c r="CPI45" s="685"/>
      <c r="CPJ45" s="685"/>
      <c r="CPK45" s="685"/>
      <c r="CPL45" s="685"/>
      <c r="CPM45" s="685"/>
      <c r="CPN45" s="685"/>
      <c r="CPO45" s="685"/>
      <c r="CPP45" s="685"/>
      <c r="CPQ45" s="685"/>
      <c r="CPR45" s="685"/>
      <c r="CPS45" s="685"/>
      <c r="CPT45" s="685"/>
      <c r="CPU45" s="685"/>
      <c r="CPV45" s="685"/>
      <c r="CPW45" s="685"/>
      <c r="CPX45" s="685"/>
      <c r="CPY45" s="685"/>
      <c r="CPZ45" s="685"/>
      <c r="CQA45" s="685"/>
      <c r="CQB45" s="685"/>
      <c r="CQC45" s="685"/>
      <c r="CQD45" s="685"/>
      <c r="CQE45" s="685"/>
      <c r="CQF45" s="685"/>
      <c r="CQG45" s="685"/>
      <c r="CQH45" s="685"/>
      <c r="CQI45" s="685"/>
      <c r="CQJ45" s="685"/>
      <c r="CQK45" s="685"/>
      <c r="CQL45" s="685"/>
      <c r="CQM45" s="685"/>
      <c r="CQN45" s="685"/>
      <c r="CQO45" s="685"/>
      <c r="CQP45" s="685"/>
      <c r="CQQ45" s="685"/>
      <c r="CQR45" s="685"/>
      <c r="CQS45" s="685"/>
      <c r="CQT45" s="685"/>
      <c r="CQU45" s="685"/>
      <c r="CQV45" s="685"/>
      <c r="CQW45" s="685"/>
      <c r="CQX45" s="685"/>
      <c r="CQY45" s="685"/>
      <c r="CQZ45" s="685"/>
      <c r="CRA45" s="685"/>
      <c r="CRB45" s="685"/>
      <c r="CRC45" s="685"/>
      <c r="CRD45" s="685"/>
      <c r="CRE45" s="685"/>
      <c r="CRF45" s="685"/>
      <c r="CRG45" s="685"/>
      <c r="CRH45" s="685"/>
      <c r="CRI45" s="685"/>
      <c r="CRJ45" s="685"/>
      <c r="CRK45" s="685"/>
      <c r="CRL45" s="685"/>
      <c r="CRM45" s="685"/>
      <c r="CRN45" s="685"/>
      <c r="CRO45" s="685"/>
      <c r="CRP45" s="685"/>
      <c r="CRQ45" s="685"/>
      <c r="CRR45" s="685"/>
      <c r="CRS45" s="685"/>
      <c r="CRT45" s="685"/>
      <c r="CRU45" s="685"/>
      <c r="CRV45" s="685"/>
      <c r="CRW45" s="685"/>
      <c r="CRX45" s="685"/>
      <c r="CRY45" s="685"/>
      <c r="CRZ45" s="685"/>
      <c r="CSA45" s="685"/>
      <c r="CSB45" s="685"/>
      <c r="CSC45" s="685"/>
      <c r="CSD45" s="685"/>
      <c r="CSE45" s="685"/>
      <c r="CSF45" s="685"/>
      <c r="CSG45" s="685"/>
      <c r="CSH45" s="685"/>
      <c r="CSI45" s="685"/>
      <c r="CSJ45" s="685"/>
      <c r="CSK45" s="685"/>
      <c r="CSL45" s="685"/>
      <c r="CSM45" s="685"/>
      <c r="CSN45" s="685"/>
      <c r="CSO45" s="685"/>
      <c r="CSP45" s="685"/>
      <c r="CSQ45" s="685"/>
      <c r="CSR45" s="685"/>
      <c r="CSS45" s="685"/>
      <c r="CST45" s="685"/>
      <c r="CSU45" s="685"/>
      <c r="CSV45" s="685"/>
      <c r="CSW45" s="685"/>
      <c r="CSX45" s="685"/>
      <c r="CSY45" s="685"/>
      <c r="CSZ45" s="685"/>
      <c r="CTA45" s="685"/>
      <c r="CTB45" s="685"/>
      <c r="CTC45" s="685"/>
      <c r="CTD45" s="685"/>
      <c r="CTE45" s="685"/>
      <c r="CTF45" s="685"/>
      <c r="CTG45" s="685"/>
      <c r="CTH45" s="685"/>
      <c r="CTI45" s="685"/>
      <c r="CTJ45" s="685"/>
      <c r="CTK45" s="685"/>
      <c r="CTL45" s="685"/>
      <c r="CTM45" s="685"/>
      <c r="CTN45" s="685"/>
      <c r="CTO45" s="685"/>
      <c r="CTP45" s="685"/>
      <c r="CTQ45" s="685"/>
      <c r="CTR45" s="685"/>
      <c r="CTS45" s="685"/>
      <c r="CTT45" s="685"/>
      <c r="CTU45" s="685"/>
      <c r="CTV45" s="685"/>
      <c r="CTW45" s="685"/>
      <c r="CTX45" s="685"/>
      <c r="CTY45" s="685"/>
      <c r="CTZ45" s="685"/>
      <c r="CUA45" s="685"/>
      <c r="CUB45" s="685"/>
      <c r="CUC45" s="685"/>
      <c r="CUD45" s="685"/>
      <c r="CUE45" s="685"/>
      <c r="CUF45" s="685"/>
      <c r="CUG45" s="685"/>
      <c r="CUH45" s="685"/>
      <c r="CUI45" s="685"/>
      <c r="CUJ45" s="685"/>
      <c r="CUK45" s="685"/>
      <c r="CUL45" s="685"/>
      <c r="CUM45" s="685"/>
      <c r="CUN45" s="685"/>
      <c r="CUO45" s="685"/>
      <c r="CUP45" s="685"/>
      <c r="CUQ45" s="685"/>
      <c r="CUR45" s="685"/>
      <c r="CUS45" s="685"/>
      <c r="CUT45" s="685"/>
      <c r="CUU45" s="685"/>
      <c r="CUV45" s="685"/>
      <c r="CUW45" s="685"/>
      <c r="CUX45" s="685"/>
      <c r="CUY45" s="685"/>
      <c r="CUZ45" s="685"/>
      <c r="CVA45" s="685"/>
      <c r="CVB45" s="685"/>
      <c r="CVC45" s="685"/>
      <c r="CVD45" s="685"/>
      <c r="CVE45" s="685"/>
      <c r="CVF45" s="685"/>
      <c r="CVG45" s="685"/>
      <c r="CVH45" s="685"/>
      <c r="CVI45" s="685"/>
      <c r="CVJ45" s="685"/>
      <c r="CVK45" s="685"/>
      <c r="CVL45" s="685"/>
      <c r="CVM45" s="685"/>
      <c r="CVN45" s="685"/>
      <c r="CVO45" s="685"/>
      <c r="CVP45" s="685"/>
      <c r="CVQ45" s="685"/>
      <c r="CVR45" s="685"/>
      <c r="CVS45" s="685"/>
      <c r="CVT45" s="685"/>
      <c r="CVU45" s="685"/>
      <c r="CVV45" s="685"/>
      <c r="CVW45" s="685"/>
      <c r="CVX45" s="685"/>
      <c r="CVY45" s="685"/>
      <c r="CVZ45" s="685"/>
      <c r="CWA45" s="685"/>
      <c r="CWB45" s="685"/>
      <c r="CWC45" s="685"/>
      <c r="CWD45" s="685"/>
      <c r="CWE45" s="685"/>
      <c r="CWF45" s="685"/>
      <c r="CWG45" s="685"/>
      <c r="CWH45" s="685"/>
      <c r="CWI45" s="685"/>
      <c r="CWJ45" s="685"/>
      <c r="CWK45" s="685"/>
      <c r="CWL45" s="685"/>
      <c r="CWM45" s="685"/>
      <c r="CWN45" s="685"/>
      <c r="CWO45" s="685"/>
      <c r="CWP45" s="685"/>
      <c r="CWQ45" s="685"/>
      <c r="CWR45" s="685"/>
      <c r="CWS45" s="685"/>
      <c r="CWT45" s="685"/>
      <c r="CWU45" s="685"/>
      <c r="CWV45" s="685"/>
      <c r="CWW45" s="685"/>
      <c r="CWX45" s="685"/>
      <c r="CWY45" s="685"/>
      <c r="CWZ45" s="685"/>
      <c r="CXA45" s="685"/>
      <c r="CXB45" s="685"/>
      <c r="CXC45" s="685"/>
      <c r="CXD45" s="685"/>
      <c r="CXE45" s="685"/>
      <c r="CXF45" s="685"/>
      <c r="CXG45" s="685"/>
      <c r="CXH45" s="685"/>
      <c r="CXI45" s="685"/>
      <c r="CXJ45" s="685"/>
      <c r="CXK45" s="685"/>
      <c r="CXL45" s="685"/>
      <c r="CXM45" s="685"/>
      <c r="CXN45" s="685"/>
      <c r="CXO45" s="685"/>
      <c r="CXP45" s="685"/>
      <c r="CXQ45" s="685"/>
      <c r="CXR45" s="685"/>
      <c r="CXS45" s="685"/>
      <c r="CXT45" s="685"/>
      <c r="CXU45" s="685"/>
      <c r="CXV45" s="685"/>
      <c r="CXW45" s="685"/>
      <c r="CXX45" s="685"/>
      <c r="CXY45" s="685"/>
      <c r="CXZ45" s="685"/>
      <c r="CYA45" s="685"/>
      <c r="CYB45" s="685"/>
      <c r="CYC45" s="685"/>
      <c r="CYD45" s="685"/>
      <c r="CYE45" s="685"/>
      <c r="CYF45" s="685"/>
      <c r="CYG45" s="685"/>
      <c r="CYH45" s="685"/>
      <c r="CYI45" s="685"/>
      <c r="CYJ45" s="685"/>
      <c r="CYK45" s="685"/>
      <c r="CYL45" s="685"/>
      <c r="CYM45" s="685"/>
      <c r="CYN45" s="685"/>
      <c r="CYO45" s="685"/>
      <c r="CYP45" s="685"/>
      <c r="CYQ45" s="685"/>
      <c r="CYR45" s="685"/>
      <c r="CYS45" s="685"/>
      <c r="CYT45" s="685"/>
      <c r="CYU45" s="685"/>
      <c r="CYV45" s="685"/>
      <c r="CYW45" s="685"/>
      <c r="CYX45" s="685"/>
      <c r="CYY45" s="685"/>
      <c r="CYZ45" s="685"/>
      <c r="CZA45" s="685"/>
      <c r="CZB45" s="685"/>
      <c r="CZC45" s="685"/>
      <c r="CZD45" s="685"/>
      <c r="CZE45" s="685"/>
      <c r="CZF45" s="685"/>
      <c r="CZG45" s="685"/>
      <c r="CZH45" s="685"/>
      <c r="CZI45" s="685"/>
      <c r="CZJ45" s="685"/>
      <c r="CZK45" s="685"/>
      <c r="CZL45" s="685"/>
      <c r="CZM45" s="685"/>
      <c r="CZN45" s="685"/>
      <c r="CZO45" s="685"/>
      <c r="CZP45" s="685"/>
      <c r="CZQ45" s="685"/>
      <c r="CZR45" s="685"/>
      <c r="CZS45" s="685"/>
      <c r="CZT45" s="685"/>
      <c r="CZU45" s="685"/>
      <c r="CZV45" s="685"/>
      <c r="CZW45" s="685"/>
      <c r="CZX45" s="685"/>
      <c r="CZY45" s="685"/>
      <c r="CZZ45" s="685"/>
      <c r="DAA45" s="685"/>
      <c r="DAB45" s="685"/>
      <c r="DAC45" s="685"/>
      <c r="DAD45" s="685"/>
      <c r="DAE45" s="685"/>
      <c r="DAF45" s="685"/>
      <c r="DAG45" s="685"/>
      <c r="DAH45" s="685"/>
      <c r="DAI45" s="685"/>
      <c r="DAJ45" s="685"/>
      <c r="DAK45" s="685"/>
      <c r="DAL45" s="685"/>
      <c r="DAM45" s="685"/>
      <c r="DAN45" s="685"/>
      <c r="DAO45" s="685"/>
      <c r="DAP45" s="685"/>
      <c r="DAQ45" s="685"/>
      <c r="DAR45" s="685"/>
      <c r="DAS45" s="685"/>
      <c r="DAT45" s="685"/>
      <c r="DAU45" s="685"/>
      <c r="DAV45" s="685"/>
      <c r="DAW45" s="685"/>
      <c r="DAX45" s="685"/>
      <c r="DAY45" s="685"/>
      <c r="DAZ45" s="685"/>
      <c r="DBA45" s="685"/>
      <c r="DBB45" s="685"/>
      <c r="DBC45" s="685"/>
      <c r="DBD45" s="685"/>
      <c r="DBE45" s="685"/>
      <c r="DBF45" s="685"/>
      <c r="DBG45" s="685"/>
      <c r="DBH45" s="685"/>
      <c r="DBI45" s="685"/>
      <c r="DBJ45" s="685"/>
      <c r="DBK45" s="685"/>
      <c r="DBL45" s="685"/>
      <c r="DBM45" s="685"/>
      <c r="DBN45" s="685"/>
      <c r="DBO45" s="685"/>
      <c r="DBP45" s="685"/>
      <c r="DBQ45" s="685"/>
      <c r="DBR45" s="685"/>
      <c r="DBS45" s="685"/>
      <c r="DBT45" s="685"/>
      <c r="DBU45" s="685"/>
      <c r="DBV45" s="685"/>
      <c r="DBW45" s="685"/>
      <c r="DBX45" s="685"/>
      <c r="DBY45" s="685"/>
      <c r="DBZ45" s="685"/>
      <c r="DCA45" s="685"/>
      <c r="DCB45" s="685"/>
      <c r="DCC45" s="685"/>
      <c r="DCD45" s="685"/>
      <c r="DCE45" s="685"/>
      <c r="DCF45" s="685"/>
      <c r="DCG45" s="685"/>
      <c r="DCH45" s="685"/>
      <c r="DCI45" s="685"/>
      <c r="DCJ45" s="685"/>
      <c r="DCK45" s="685"/>
      <c r="DCL45" s="685"/>
      <c r="DCM45" s="685"/>
      <c r="DCN45" s="685"/>
      <c r="DCO45" s="685"/>
      <c r="DCP45" s="685"/>
      <c r="DCQ45" s="685"/>
      <c r="DCR45" s="685"/>
      <c r="DCS45" s="685"/>
      <c r="DCT45" s="685"/>
      <c r="DCU45" s="685"/>
      <c r="DCV45" s="685"/>
      <c r="DCW45" s="685"/>
      <c r="DCX45" s="685"/>
      <c r="DCY45" s="685"/>
      <c r="DCZ45" s="685"/>
      <c r="DDA45" s="685"/>
      <c r="DDB45" s="685"/>
      <c r="DDC45" s="685"/>
      <c r="DDD45" s="685"/>
      <c r="DDE45" s="685"/>
      <c r="DDF45" s="685"/>
      <c r="DDG45" s="685"/>
      <c r="DDH45" s="685"/>
      <c r="DDI45" s="685"/>
      <c r="DDJ45" s="685"/>
      <c r="DDK45" s="685"/>
      <c r="DDL45" s="685"/>
      <c r="DDM45" s="685"/>
      <c r="DDN45" s="685"/>
      <c r="DDO45" s="685"/>
      <c r="DDP45" s="685"/>
      <c r="DDQ45" s="685"/>
      <c r="DDR45" s="685"/>
      <c r="DDS45" s="685"/>
      <c r="DDT45" s="685"/>
      <c r="DDU45" s="685"/>
      <c r="DDV45" s="685"/>
      <c r="DDW45" s="685"/>
      <c r="DDX45" s="685"/>
      <c r="DDY45" s="685"/>
      <c r="DDZ45" s="685"/>
      <c r="DEA45" s="685"/>
      <c r="DEB45" s="685"/>
      <c r="DEC45" s="685"/>
      <c r="DED45" s="685"/>
      <c r="DEE45" s="685"/>
      <c r="DEF45" s="685"/>
      <c r="DEG45" s="685"/>
      <c r="DEH45" s="685"/>
      <c r="DEI45" s="685"/>
      <c r="DEJ45" s="685"/>
      <c r="DEK45" s="685"/>
      <c r="DEL45" s="685"/>
      <c r="DEM45" s="685"/>
      <c r="DEN45" s="685"/>
      <c r="DEO45" s="685"/>
      <c r="DEP45" s="685"/>
      <c r="DEQ45" s="685"/>
      <c r="DER45" s="685"/>
      <c r="DES45" s="685"/>
      <c r="DET45" s="685"/>
      <c r="DEU45" s="685"/>
      <c r="DEV45" s="685"/>
      <c r="DEW45" s="685"/>
      <c r="DEX45" s="685"/>
      <c r="DEY45" s="685"/>
      <c r="DEZ45" s="685"/>
      <c r="DFA45" s="685"/>
      <c r="DFB45" s="685"/>
      <c r="DFC45" s="685"/>
      <c r="DFD45" s="685"/>
      <c r="DFE45" s="685"/>
      <c r="DFF45" s="685"/>
      <c r="DFG45" s="685"/>
      <c r="DFH45" s="685"/>
      <c r="DFI45" s="685"/>
      <c r="DFJ45" s="685"/>
      <c r="DFK45" s="685"/>
      <c r="DFL45" s="685"/>
      <c r="DFM45" s="685"/>
      <c r="DFN45" s="685"/>
      <c r="DFO45" s="685"/>
      <c r="DFP45" s="685"/>
      <c r="DFQ45" s="685"/>
      <c r="DFR45" s="685"/>
      <c r="DFS45" s="685"/>
      <c r="DFT45" s="685"/>
      <c r="DFU45" s="685"/>
      <c r="DFV45" s="685"/>
      <c r="DFW45" s="685"/>
      <c r="DFX45" s="685"/>
      <c r="DFY45" s="685"/>
      <c r="DFZ45" s="685"/>
      <c r="DGA45" s="685"/>
      <c r="DGB45" s="685"/>
      <c r="DGC45" s="685"/>
      <c r="DGD45" s="685"/>
      <c r="DGE45" s="685"/>
      <c r="DGF45" s="685"/>
      <c r="DGG45" s="685"/>
      <c r="DGH45" s="685"/>
      <c r="DGI45" s="685"/>
      <c r="DGJ45" s="685"/>
      <c r="DGK45" s="685"/>
      <c r="DGL45" s="685"/>
      <c r="DGM45" s="685"/>
      <c r="DGN45" s="685"/>
      <c r="DGO45" s="685"/>
      <c r="DGP45" s="685"/>
      <c r="DGQ45" s="685"/>
      <c r="DGR45" s="685"/>
      <c r="DGS45" s="685"/>
      <c r="DGT45" s="685"/>
      <c r="DGU45" s="685"/>
      <c r="DGV45" s="685"/>
      <c r="DGW45" s="685"/>
      <c r="DGX45" s="685"/>
      <c r="DGY45" s="685"/>
      <c r="DGZ45" s="685"/>
      <c r="DHA45" s="685"/>
      <c r="DHB45" s="685"/>
      <c r="DHC45" s="685"/>
      <c r="DHD45" s="685"/>
      <c r="DHE45" s="685"/>
      <c r="DHF45" s="685"/>
      <c r="DHG45" s="685"/>
      <c r="DHH45" s="685"/>
      <c r="DHI45" s="685"/>
      <c r="DHJ45" s="685"/>
      <c r="DHK45" s="685"/>
      <c r="DHL45" s="685"/>
      <c r="DHM45" s="685"/>
      <c r="DHN45" s="685"/>
      <c r="DHO45" s="685"/>
      <c r="DHP45" s="685"/>
      <c r="DHQ45" s="685"/>
      <c r="DHR45" s="685"/>
      <c r="DHS45" s="685"/>
      <c r="DHT45" s="685"/>
      <c r="DHU45" s="685"/>
      <c r="DHV45" s="685"/>
      <c r="DHW45" s="685"/>
      <c r="DHX45" s="685"/>
      <c r="DHY45" s="685"/>
      <c r="DHZ45" s="685"/>
      <c r="DIA45" s="685"/>
      <c r="DIB45" s="685"/>
      <c r="DIC45" s="685"/>
      <c r="DID45" s="685"/>
      <c r="DIE45" s="685"/>
      <c r="DIF45" s="685"/>
      <c r="DIG45" s="685"/>
      <c r="DIH45" s="685"/>
      <c r="DII45" s="685"/>
      <c r="DIJ45" s="685"/>
      <c r="DIK45" s="685"/>
      <c r="DIL45" s="685"/>
      <c r="DIM45" s="685"/>
      <c r="DIN45" s="685"/>
      <c r="DIO45" s="685"/>
      <c r="DIP45" s="685"/>
      <c r="DIQ45" s="685"/>
      <c r="DIR45" s="685"/>
      <c r="DIS45" s="685"/>
      <c r="DIT45" s="685"/>
      <c r="DIU45" s="685"/>
      <c r="DIV45" s="685"/>
      <c r="DIW45" s="685"/>
      <c r="DIX45" s="685"/>
      <c r="DIY45" s="685"/>
      <c r="DIZ45" s="685"/>
      <c r="DJA45" s="685"/>
      <c r="DJB45" s="685"/>
      <c r="DJC45" s="685"/>
      <c r="DJD45" s="685"/>
      <c r="DJE45" s="685"/>
      <c r="DJF45" s="685"/>
      <c r="DJG45" s="685"/>
      <c r="DJH45" s="685"/>
      <c r="DJI45" s="685"/>
      <c r="DJJ45" s="685"/>
      <c r="DJK45" s="685"/>
      <c r="DJL45" s="685"/>
      <c r="DJM45" s="685"/>
      <c r="DJN45" s="685"/>
      <c r="DJO45" s="685"/>
      <c r="DJP45" s="685"/>
      <c r="DJQ45" s="685"/>
      <c r="DJR45" s="685"/>
      <c r="DJS45" s="685"/>
      <c r="DJT45" s="685"/>
      <c r="DJU45" s="685"/>
      <c r="DJV45" s="685"/>
      <c r="DJW45" s="685"/>
      <c r="DJX45" s="685"/>
      <c r="DJY45" s="685"/>
      <c r="DJZ45" s="685"/>
      <c r="DKA45" s="685"/>
      <c r="DKB45" s="685"/>
      <c r="DKC45" s="685"/>
      <c r="DKD45" s="685"/>
      <c r="DKE45" s="685"/>
      <c r="DKF45" s="685"/>
      <c r="DKG45" s="685"/>
      <c r="DKH45" s="685"/>
      <c r="DKI45" s="685"/>
      <c r="DKJ45" s="685"/>
      <c r="DKK45" s="685"/>
      <c r="DKL45" s="685"/>
      <c r="DKM45" s="685"/>
      <c r="DKN45" s="685"/>
      <c r="DKO45" s="685"/>
      <c r="DKP45" s="685"/>
      <c r="DKQ45" s="685"/>
      <c r="DKR45" s="685"/>
      <c r="DKS45" s="685"/>
      <c r="DKT45" s="685"/>
      <c r="DKU45" s="685"/>
      <c r="DKV45" s="685"/>
      <c r="DKW45" s="685"/>
      <c r="DKX45" s="685"/>
      <c r="DKY45" s="685"/>
      <c r="DKZ45" s="685"/>
      <c r="DLA45" s="685"/>
      <c r="DLB45" s="685"/>
      <c r="DLC45" s="685"/>
      <c r="DLD45" s="685"/>
      <c r="DLE45" s="685"/>
      <c r="DLF45" s="685"/>
      <c r="DLG45" s="685"/>
      <c r="DLH45" s="685"/>
      <c r="DLI45" s="685"/>
      <c r="DLJ45" s="685"/>
      <c r="DLK45" s="685"/>
      <c r="DLL45" s="685"/>
      <c r="DLM45" s="685"/>
      <c r="DLN45" s="685"/>
      <c r="DLO45" s="685"/>
      <c r="DLP45" s="685"/>
      <c r="DLQ45" s="685"/>
      <c r="DLR45" s="685"/>
      <c r="DLS45" s="685"/>
      <c r="DLT45" s="685"/>
      <c r="DLU45" s="685"/>
      <c r="DLV45" s="685"/>
      <c r="DLW45" s="685"/>
      <c r="DLX45" s="685"/>
      <c r="DLY45" s="685"/>
      <c r="DLZ45" s="685"/>
      <c r="DMA45" s="685"/>
      <c r="DMB45" s="685"/>
      <c r="DMC45" s="685"/>
      <c r="DMD45" s="685"/>
      <c r="DME45" s="685"/>
      <c r="DMF45" s="685"/>
      <c r="DMG45" s="685"/>
      <c r="DMH45" s="685"/>
      <c r="DMI45" s="685"/>
      <c r="DMJ45" s="685"/>
      <c r="DMK45" s="685"/>
      <c r="DML45" s="685"/>
      <c r="DMM45" s="685"/>
      <c r="DMN45" s="685"/>
      <c r="DMO45" s="685"/>
      <c r="DMP45" s="685"/>
      <c r="DMQ45" s="685"/>
      <c r="DMR45" s="685"/>
      <c r="DMS45" s="685"/>
      <c r="DMT45" s="685"/>
      <c r="DMU45" s="685"/>
      <c r="DMV45" s="685"/>
      <c r="DMW45" s="685"/>
      <c r="DMX45" s="685"/>
      <c r="DMY45" s="685"/>
      <c r="DMZ45" s="685"/>
      <c r="DNA45" s="685"/>
      <c r="DNB45" s="685"/>
      <c r="DNC45" s="685"/>
      <c r="DND45" s="685"/>
      <c r="DNE45" s="685"/>
      <c r="DNF45" s="685"/>
      <c r="DNG45" s="685"/>
      <c r="DNH45" s="685"/>
      <c r="DNI45" s="685"/>
      <c r="DNJ45" s="685"/>
      <c r="DNK45" s="685"/>
      <c r="DNL45" s="685"/>
      <c r="DNM45" s="685"/>
      <c r="DNN45" s="685"/>
      <c r="DNO45" s="685"/>
      <c r="DNP45" s="685"/>
      <c r="DNQ45" s="685"/>
      <c r="DNR45" s="685"/>
      <c r="DNS45" s="685"/>
      <c r="DNT45" s="685"/>
      <c r="DNU45" s="685"/>
      <c r="DNV45" s="685"/>
      <c r="DNW45" s="685"/>
      <c r="DNX45" s="685"/>
      <c r="DNY45" s="685"/>
      <c r="DNZ45" s="685"/>
      <c r="DOA45" s="685"/>
      <c r="DOB45" s="685"/>
      <c r="DOC45" s="685"/>
      <c r="DOD45" s="685"/>
      <c r="DOE45" s="685"/>
      <c r="DOF45" s="685"/>
      <c r="DOG45" s="685"/>
      <c r="DOH45" s="685"/>
      <c r="DOI45" s="685"/>
      <c r="DOJ45" s="685"/>
      <c r="DOK45" s="685"/>
      <c r="DOL45" s="685"/>
      <c r="DOM45" s="685"/>
      <c r="DON45" s="685"/>
      <c r="DOO45" s="685"/>
      <c r="DOP45" s="685"/>
      <c r="DOQ45" s="685"/>
      <c r="DOR45" s="685"/>
      <c r="DOS45" s="685"/>
      <c r="DOT45" s="685"/>
      <c r="DOU45" s="685"/>
      <c r="DOV45" s="685"/>
      <c r="DOW45" s="685"/>
      <c r="DOX45" s="685"/>
      <c r="DOY45" s="685"/>
      <c r="DOZ45" s="685"/>
      <c r="DPA45" s="685"/>
      <c r="DPB45" s="685"/>
      <c r="DPC45" s="685"/>
      <c r="DPD45" s="685"/>
      <c r="DPE45" s="685"/>
      <c r="DPF45" s="685"/>
      <c r="DPG45" s="685"/>
      <c r="DPH45" s="685"/>
      <c r="DPI45" s="685"/>
      <c r="DPJ45" s="685"/>
      <c r="DPK45" s="685"/>
      <c r="DPL45" s="685"/>
      <c r="DPM45" s="685"/>
      <c r="DPN45" s="685"/>
      <c r="DPO45" s="685"/>
      <c r="DPP45" s="685"/>
      <c r="DPQ45" s="685"/>
      <c r="DPR45" s="685"/>
      <c r="DPS45" s="685"/>
      <c r="DPT45" s="685"/>
      <c r="DPU45" s="685"/>
      <c r="DPV45" s="685"/>
      <c r="DPW45" s="685"/>
      <c r="DPX45" s="685"/>
      <c r="DPY45" s="685"/>
      <c r="DPZ45" s="685"/>
      <c r="DQA45" s="685"/>
      <c r="DQB45" s="685"/>
      <c r="DQC45" s="685"/>
      <c r="DQD45" s="685"/>
      <c r="DQE45" s="685"/>
      <c r="DQF45" s="685"/>
      <c r="DQG45" s="685"/>
      <c r="DQH45" s="685"/>
      <c r="DQI45" s="685"/>
      <c r="DQJ45" s="685"/>
      <c r="DQK45" s="685"/>
      <c r="DQL45" s="685"/>
      <c r="DQM45" s="685"/>
      <c r="DQN45" s="685"/>
      <c r="DQO45" s="685"/>
      <c r="DQP45" s="685"/>
      <c r="DQQ45" s="685"/>
      <c r="DQR45" s="685"/>
      <c r="DQS45" s="685"/>
      <c r="DQT45" s="685"/>
      <c r="DQU45" s="685"/>
      <c r="DQV45" s="685"/>
      <c r="DQW45" s="685"/>
      <c r="DQX45" s="685"/>
      <c r="DQY45" s="685"/>
      <c r="DQZ45" s="685"/>
      <c r="DRA45" s="685"/>
      <c r="DRB45" s="685"/>
      <c r="DRC45" s="685"/>
      <c r="DRD45" s="685"/>
      <c r="DRE45" s="685"/>
      <c r="DRF45" s="685"/>
      <c r="DRG45" s="685"/>
      <c r="DRH45" s="685"/>
      <c r="DRI45" s="685"/>
      <c r="DRJ45" s="685"/>
      <c r="DRK45" s="685"/>
      <c r="DRL45" s="685"/>
      <c r="DRM45" s="685"/>
      <c r="DRN45" s="685"/>
      <c r="DRO45" s="685"/>
      <c r="DRP45" s="685"/>
      <c r="DRQ45" s="685"/>
      <c r="DRR45" s="685"/>
      <c r="DRS45" s="685"/>
      <c r="DRT45" s="685"/>
      <c r="DRU45" s="685"/>
      <c r="DRV45" s="685"/>
      <c r="DRW45" s="685"/>
      <c r="DRX45" s="685"/>
      <c r="DRY45" s="685"/>
      <c r="DRZ45" s="685"/>
      <c r="DSA45" s="685"/>
      <c r="DSB45" s="685"/>
      <c r="DSC45" s="685"/>
      <c r="DSD45" s="685"/>
      <c r="DSE45" s="685"/>
      <c r="DSF45" s="685"/>
      <c r="DSG45" s="685"/>
      <c r="DSH45" s="685"/>
      <c r="DSI45" s="685"/>
      <c r="DSJ45" s="685"/>
      <c r="DSK45" s="685"/>
      <c r="DSL45" s="685"/>
      <c r="DSM45" s="685"/>
      <c r="DSN45" s="685"/>
      <c r="DSO45" s="685"/>
      <c r="DSP45" s="685"/>
      <c r="DSQ45" s="685"/>
      <c r="DSR45" s="685"/>
      <c r="DSS45" s="685"/>
      <c r="DST45" s="685"/>
      <c r="DSU45" s="685"/>
      <c r="DSV45" s="685"/>
      <c r="DSW45" s="685"/>
      <c r="DSX45" s="685"/>
      <c r="DSY45" s="685"/>
      <c r="DSZ45" s="685"/>
      <c r="DTA45" s="685"/>
      <c r="DTB45" s="685"/>
      <c r="DTC45" s="685"/>
      <c r="DTD45" s="685"/>
      <c r="DTE45" s="685"/>
      <c r="DTF45" s="685"/>
      <c r="DTG45" s="685"/>
      <c r="DTH45" s="685"/>
      <c r="DTI45" s="685"/>
      <c r="DTJ45" s="685"/>
      <c r="DTK45" s="685"/>
      <c r="DTL45" s="685"/>
      <c r="DTM45" s="685"/>
      <c r="DTN45" s="685"/>
      <c r="DTO45" s="685"/>
      <c r="DTP45" s="685"/>
      <c r="DTQ45" s="685"/>
      <c r="DTR45" s="685"/>
      <c r="DTS45" s="685"/>
      <c r="DTT45" s="685"/>
      <c r="DTU45" s="685"/>
      <c r="DTV45" s="685"/>
      <c r="DTW45" s="685"/>
      <c r="DTX45" s="685"/>
      <c r="DTY45" s="685"/>
      <c r="DTZ45" s="685"/>
      <c r="DUA45" s="685"/>
      <c r="DUB45" s="685"/>
      <c r="DUC45" s="685"/>
      <c r="DUD45" s="685"/>
      <c r="DUE45" s="685"/>
      <c r="DUF45" s="685"/>
      <c r="DUG45" s="685"/>
      <c r="DUH45" s="685"/>
      <c r="DUI45" s="685"/>
      <c r="DUJ45" s="685"/>
      <c r="DUK45" s="685"/>
      <c r="DUL45" s="685"/>
      <c r="DUM45" s="685"/>
      <c r="DUN45" s="685"/>
      <c r="DUO45" s="685"/>
      <c r="DUP45" s="685"/>
      <c r="DUQ45" s="685"/>
      <c r="DUR45" s="685"/>
      <c r="DUS45" s="685"/>
      <c r="DUT45" s="685"/>
      <c r="DUU45" s="685"/>
      <c r="DUV45" s="685"/>
      <c r="DUW45" s="685"/>
      <c r="DUX45" s="685"/>
      <c r="DUY45" s="685"/>
      <c r="DUZ45" s="685"/>
      <c r="DVA45" s="685"/>
      <c r="DVB45" s="685"/>
      <c r="DVC45" s="685"/>
      <c r="DVD45" s="685"/>
      <c r="DVE45" s="685"/>
      <c r="DVF45" s="685"/>
      <c r="DVG45" s="685"/>
      <c r="DVH45" s="685"/>
      <c r="DVI45" s="685"/>
      <c r="DVJ45" s="685"/>
      <c r="DVK45" s="685"/>
      <c r="DVL45" s="685"/>
      <c r="DVM45" s="685"/>
      <c r="DVN45" s="685"/>
      <c r="DVO45" s="685"/>
      <c r="DVP45" s="685"/>
      <c r="DVQ45" s="685"/>
      <c r="DVR45" s="685"/>
      <c r="DVS45" s="685"/>
      <c r="DVT45" s="685"/>
      <c r="DVU45" s="685"/>
      <c r="DVV45" s="685"/>
      <c r="DVW45" s="685"/>
      <c r="DVX45" s="685"/>
      <c r="DVY45" s="685"/>
      <c r="DVZ45" s="685"/>
      <c r="DWA45" s="685"/>
      <c r="DWB45" s="685"/>
      <c r="DWC45" s="685"/>
      <c r="DWD45" s="685"/>
      <c r="DWE45" s="685"/>
      <c r="DWF45" s="685"/>
      <c r="DWG45" s="685"/>
      <c r="DWH45" s="685"/>
      <c r="DWI45" s="685"/>
      <c r="DWJ45" s="685"/>
      <c r="DWK45" s="685"/>
      <c r="DWL45" s="685"/>
      <c r="DWM45" s="685"/>
      <c r="DWN45" s="685"/>
      <c r="DWO45" s="685"/>
      <c r="DWP45" s="685"/>
      <c r="DWQ45" s="685"/>
      <c r="DWR45" s="685"/>
      <c r="DWS45" s="685"/>
      <c r="DWT45" s="685"/>
      <c r="DWU45" s="685"/>
      <c r="DWV45" s="685"/>
      <c r="DWW45" s="685"/>
      <c r="DWX45" s="685"/>
      <c r="DWY45" s="685"/>
      <c r="DWZ45" s="685"/>
      <c r="DXA45" s="685"/>
      <c r="DXB45" s="685"/>
      <c r="DXC45" s="685"/>
      <c r="DXD45" s="685"/>
      <c r="DXE45" s="685"/>
      <c r="DXF45" s="685"/>
      <c r="DXG45" s="685"/>
      <c r="DXH45" s="685"/>
      <c r="DXI45" s="685"/>
      <c r="DXJ45" s="685"/>
      <c r="DXK45" s="685"/>
      <c r="DXL45" s="685"/>
      <c r="DXM45" s="685"/>
      <c r="DXN45" s="685"/>
      <c r="DXO45" s="685"/>
      <c r="DXP45" s="685"/>
      <c r="DXQ45" s="685"/>
      <c r="DXR45" s="685"/>
      <c r="DXS45" s="685"/>
      <c r="DXT45" s="685"/>
      <c r="DXU45" s="685"/>
      <c r="DXV45" s="685"/>
      <c r="DXW45" s="685"/>
      <c r="DXX45" s="685"/>
      <c r="DXY45" s="685"/>
      <c r="DXZ45" s="685"/>
      <c r="DYA45" s="685"/>
      <c r="DYB45" s="685"/>
      <c r="DYC45" s="685"/>
      <c r="DYD45" s="685"/>
      <c r="DYE45" s="685"/>
      <c r="DYF45" s="685"/>
      <c r="DYG45" s="685"/>
      <c r="DYH45" s="685"/>
      <c r="DYI45" s="685"/>
      <c r="DYJ45" s="685"/>
      <c r="DYK45" s="685"/>
      <c r="DYL45" s="685"/>
      <c r="DYM45" s="685"/>
      <c r="DYN45" s="685"/>
      <c r="DYO45" s="685"/>
      <c r="DYP45" s="685"/>
      <c r="DYQ45" s="685"/>
      <c r="DYR45" s="685"/>
      <c r="DYS45" s="685"/>
      <c r="DYT45" s="685"/>
      <c r="DYU45" s="685"/>
      <c r="DYV45" s="685"/>
      <c r="DYW45" s="685"/>
      <c r="DYX45" s="685"/>
      <c r="DYY45" s="685"/>
      <c r="DYZ45" s="685"/>
      <c r="DZA45" s="685"/>
      <c r="DZB45" s="685"/>
      <c r="DZC45" s="685"/>
      <c r="DZD45" s="685"/>
      <c r="DZE45" s="685"/>
      <c r="DZF45" s="685"/>
      <c r="DZG45" s="685"/>
      <c r="DZH45" s="685"/>
      <c r="DZI45" s="685"/>
      <c r="DZJ45" s="685"/>
      <c r="DZK45" s="685"/>
      <c r="DZL45" s="685"/>
      <c r="DZM45" s="685"/>
      <c r="DZN45" s="685"/>
      <c r="DZO45" s="685"/>
      <c r="DZP45" s="685"/>
      <c r="DZQ45" s="685"/>
      <c r="DZR45" s="685"/>
      <c r="DZS45" s="685"/>
      <c r="DZT45" s="685"/>
      <c r="DZU45" s="685"/>
      <c r="DZV45" s="685"/>
      <c r="DZW45" s="685"/>
      <c r="DZX45" s="685"/>
      <c r="DZY45" s="685"/>
      <c r="DZZ45" s="685"/>
      <c r="EAA45" s="685"/>
      <c r="EAB45" s="685"/>
      <c r="EAC45" s="685"/>
      <c r="EAD45" s="685"/>
      <c r="EAE45" s="685"/>
      <c r="EAF45" s="685"/>
      <c r="EAG45" s="685"/>
      <c r="EAH45" s="685"/>
      <c r="EAI45" s="685"/>
      <c r="EAJ45" s="685"/>
      <c r="EAK45" s="685"/>
      <c r="EAL45" s="685"/>
      <c r="EAM45" s="685"/>
      <c r="EAN45" s="685"/>
      <c r="EAO45" s="685"/>
      <c r="EAP45" s="685"/>
      <c r="EAQ45" s="685"/>
      <c r="EAR45" s="685"/>
      <c r="EAS45" s="685"/>
      <c r="EAT45" s="685"/>
      <c r="EAU45" s="685"/>
      <c r="EAV45" s="685"/>
      <c r="EAW45" s="685"/>
      <c r="EAX45" s="685"/>
      <c r="EAY45" s="685"/>
      <c r="EAZ45" s="685"/>
      <c r="EBA45" s="685"/>
      <c r="EBB45" s="685"/>
      <c r="EBC45" s="685"/>
      <c r="EBD45" s="685"/>
      <c r="EBE45" s="685"/>
      <c r="EBF45" s="685"/>
      <c r="EBG45" s="685"/>
      <c r="EBH45" s="685"/>
      <c r="EBI45" s="685"/>
      <c r="EBJ45" s="685"/>
      <c r="EBK45" s="685"/>
      <c r="EBL45" s="685"/>
      <c r="EBM45" s="685"/>
      <c r="EBN45" s="685"/>
      <c r="EBO45" s="685"/>
      <c r="EBP45" s="685"/>
      <c r="EBQ45" s="685"/>
      <c r="EBR45" s="685"/>
      <c r="EBS45" s="685"/>
      <c r="EBT45" s="685"/>
      <c r="EBU45" s="685"/>
      <c r="EBV45" s="685"/>
      <c r="EBW45" s="685"/>
      <c r="EBX45" s="685"/>
      <c r="EBY45" s="685"/>
      <c r="EBZ45" s="685"/>
      <c r="ECA45" s="685"/>
      <c r="ECB45" s="685"/>
      <c r="ECC45" s="685"/>
      <c r="ECD45" s="685"/>
      <c r="ECE45" s="685"/>
      <c r="ECF45" s="685"/>
      <c r="ECG45" s="685"/>
      <c r="ECH45" s="685"/>
      <c r="ECI45" s="685"/>
      <c r="ECJ45" s="685"/>
      <c r="ECK45" s="685"/>
      <c r="ECL45" s="685"/>
      <c r="ECM45" s="685"/>
      <c r="ECN45" s="685"/>
      <c r="ECO45" s="685"/>
      <c r="ECP45" s="685"/>
      <c r="ECQ45" s="685"/>
      <c r="ECR45" s="685"/>
      <c r="ECS45" s="685"/>
      <c r="ECT45" s="685"/>
      <c r="ECU45" s="685"/>
      <c r="ECV45" s="685"/>
      <c r="ECW45" s="685"/>
      <c r="ECX45" s="685"/>
      <c r="ECY45" s="685"/>
      <c r="ECZ45" s="685"/>
      <c r="EDA45" s="685"/>
      <c r="EDB45" s="685"/>
      <c r="EDC45" s="685"/>
      <c r="EDD45" s="685"/>
      <c r="EDE45" s="685"/>
      <c r="EDF45" s="685"/>
      <c r="EDG45" s="685"/>
      <c r="EDH45" s="685"/>
      <c r="EDI45" s="685"/>
      <c r="EDJ45" s="685"/>
      <c r="EDK45" s="685"/>
      <c r="EDL45" s="685"/>
      <c r="EDM45" s="685"/>
      <c r="EDN45" s="685"/>
      <c r="EDO45" s="685"/>
      <c r="EDP45" s="685"/>
      <c r="EDQ45" s="685"/>
      <c r="EDR45" s="685"/>
      <c r="EDS45" s="685"/>
      <c r="EDT45" s="685"/>
      <c r="EDU45" s="685"/>
      <c r="EDV45" s="685"/>
      <c r="EDW45" s="685"/>
      <c r="EDX45" s="685"/>
      <c r="EDY45" s="685"/>
      <c r="EDZ45" s="685"/>
      <c r="EEA45" s="685"/>
      <c r="EEB45" s="685"/>
      <c r="EEC45" s="685"/>
      <c r="EED45" s="685"/>
      <c r="EEE45" s="685"/>
      <c r="EEF45" s="685"/>
      <c r="EEG45" s="685"/>
      <c r="EEH45" s="685"/>
      <c r="EEI45" s="685"/>
      <c r="EEJ45" s="685"/>
      <c r="EEK45" s="685"/>
      <c r="EEL45" s="685"/>
      <c r="EEM45" s="685"/>
      <c r="EEN45" s="685"/>
      <c r="EEO45" s="685"/>
      <c r="EEP45" s="685"/>
      <c r="EEQ45" s="685"/>
      <c r="EER45" s="685"/>
      <c r="EES45" s="685"/>
      <c r="EET45" s="685"/>
      <c r="EEU45" s="685"/>
      <c r="EEV45" s="685"/>
      <c r="EEW45" s="685"/>
      <c r="EEX45" s="685"/>
      <c r="EEY45" s="685"/>
      <c r="EEZ45" s="685"/>
      <c r="EFA45" s="685"/>
      <c r="EFB45" s="685"/>
      <c r="EFC45" s="685"/>
      <c r="EFD45" s="685"/>
      <c r="EFE45" s="685"/>
      <c r="EFF45" s="685"/>
      <c r="EFG45" s="685"/>
      <c r="EFH45" s="685"/>
      <c r="EFI45" s="685"/>
      <c r="EFJ45" s="685"/>
      <c r="EFK45" s="685"/>
      <c r="EFL45" s="685"/>
      <c r="EFM45" s="685"/>
      <c r="EFN45" s="685"/>
      <c r="EFO45" s="685"/>
      <c r="EFP45" s="685"/>
      <c r="EFQ45" s="685"/>
      <c r="EFR45" s="685"/>
      <c r="EFS45" s="685"/>
      <c r="EFT45" s="685"/>
      <c r="EFU45" s="685"/>
      <c r="EFV45" s="685"/>
      <c r="EFW45" s="685"/>
      <c r="EFX45" s="685"/>
      <c r="EFY45" s="685"/>
      <c r="EFZ45" s="685"/>
      <c r="EGA45" s="685"/>
      <c r="EGB45" s="685"/>
      <c r="EGC45" s="685"/>
      <c r="EGD45" s="685"/>
      <c r="EGE45" s="685"/>
      <c r="EGF45" s="685"/>
      <c r="EGG45" s="685"/>
      <c r="EGH45" s="685"/>
      <c r="EGI45" s="685"/>
      <c r="EGJ45" s="685"/>
      <c r="EGK45" s="685"/>
      <c r="EGL45" s="685"/>
      <c r="EGM45" s="685"/>
      <c r="EGN45" s="685"/>
      <c r="EGO45" s="685"/>
      <c r="EGP45" s="685"/>
      <c r="EGQ45" s="685"/>
      <c r="EGR45" s="685"/>
      <c r="EGS45" s="685"/>
      <c r="EGT45" s="685"/>
      <c r="EGU45" s="685"/>
      <c r="EGV45" s="685"/>
      <c r="EGW45" s="685"/>
      <c r="EGX45" s="685"/>
      <c r="EGY45" s="685"/>
      <c r="EGZ45" s="685"/>
      <c r="EHA45" s="685"/>
      <c r="EHB45" s="685"/>
      <c r="EHC45" s="685"/>
      <c r="EHD45" s="685"/>
      <c r="EHE45" s="685"/>
      <c r="EHF45" s="685"/>
      <c r="EHG45" s="685"/>
      <c r="EHH45" s="685"/>
      <c r="EHI45" s="685"/>
      <c r="EHJ45" s="685"/>
      <c r="EHK45" s="685"/>
      <c r="EHL45" s="685"/>
      <c r="EHM45" s="685"/>
      <c r="EHN45" s="685"/>
      <c r="EHO45" s="685"/>
      <c r="EHP45" s="685"/>
      <c r="EHQ45" s="685"/>
      <c r="EHR45" s="685"/>
      <c r="EHS45" s="685"/>
      <c r="EHT45" s="685"/>
      <c r="EHU45" s="685"/>
      <c r="EHV45" s="685"/>
      <c r="EHW45" s="685"/>
      <c r="EHX45" s="685"/>
      <c r="EHY45" s="685"/>
      <c r="EHZ45" s="685"/>
      <c r="EIA45" s="685"/>
      <c r="EIB45" s="685"/>
      <c r="EIC45" s="685"/>
      <c r="EID45" s="685"/>
      <c r="EIE45" s="685"/>
      <c r="EIF45" s="685"/>
      <c r="EIG45" s="685"/>
      <c r="EIH45" s="685"/>
      <c r="EII45" s="685"/>
      <c r="EIJ45" s="685"/>
      <c r="EIK45" s="685"/>
      <c r="EIL45" s="685"/>
      <c r="EIM45" s="685"/>
      <c r="EIN45" s="685"/>
      <c r="EIO45" s="685"/>
      <c r="EIP45" s="685"/>
      <c r="EIQ45" s="685"/>
      <c r="EIR45" s="685"/>
      <c r="EIS45" s="685"/>
      <c r="EIT45" s="685"/>
      <c r="EIU45" s="685"/>
      <c r="EIV45" s="685"/>
      <c r="EIW45" s="685"/>
      <c r="EIX45" s="685"/>
      <c r="EIY45" s="685"/>
      <c r="EIZ45" s="685"/>
      <c r="EJA45" s="685"/>
      <c r="EJB45" s="685"/>
      <c r="EJC45" s="685"/>
      <c r="EJD45" s="685"/>
      <c r="EJE45" s="685"/>
      <c r="EJF45" s="685"/>
      <c r="EJG45" s="685"/>
      <c r="EJH45" s="685"/>
      <c r="EJI45" s="685"/>
      <c r="EJJ45" s="685"/>
      <c r="EJK45" s="685"/>
      <c r="EJL45" s="685"/>
      <c r="EJM45" s="685"/>
      <c r="EJN45" s="685"/>
      <c r="EJO45" s="685"/>
      <c r="EJP45" s="685"/>
      <c r="EJQ45" s="685"/>
      <c r="EJR45" s="685"/>
      <c r="EJS45" s="685"/>
      <c r="EJT45" s="685"/>
      <c r="EJU45" s="685"/>
      <c r="EJV45" s="685"/>
      <c r="EJW45" s="685"/>
      <c r="EJX45" s="685"/>
      <c r="EJY45" s="685"/>
      <c r="EJZ45" s="685"/>
      <c r="EKA45" s="685"/>
      <c r="EKB45" s="685"/>
      <c r="EKC45" s="685"/>
      <c r="EKD45" s="685"/>
      <c r="EKE45" s="685"/>
      <c r="EKF45" s="685"/>
      <c r="EKG45" s="685"/>
      <c r="EKH45" s="685"/>
      <c r="EKI45" s="685"/>
      <c r="EKJ45" s="685"/>
      <c r="EKK45" s="685"/>
      <c r="EKL45" s="685"/>
      <c r="EKM45" s="685"/>
      <c r="EKN45" s="685"/>
      <c r="EKO45" s="685"/>
      <c r="EKP45" s="685"/>
      <c r="EKQ45" s="685"/>
      <c r="EKR45" s="685"/>
      <c r="EKS45" s="685"/>
      <c r="EKT45" s="685"/>
      <c r="EKU45" s="685"/>
      <c r="EKV45" s="685"/>
      <c r="EKW45" s="685"/>
      <c r="EKX45" s="685"/>
      <c r="EKY45" s="685"/>
      <c r="EKZ45" s="685"/>
      <c r="ELA45" s="685"/>
      <c r="ELB45" s="685"/>
      <c r="ELC45" s="685"/>
      <c r="ELD45" s="685"/>
      <c r="ELE45" s="685"/>
      <c r="ELF45" s="685"/>
      <c r="ELG45" s="685"/>
      <c r="ELH45" s="685"/>
      <c r="ELI45" s="685"/>
      <c r="ELJ45" s="685"/>
      <c r="ELK45" s="685"/>
      <c r="ELL45" s="685"/>
      <c r="ELM45" s="685"/>
      <c r="ELN45" s="685"/>
      <c r="ELO45" s="685"/>
      <c r="ELP45" s="685"/>
      <c r="ELQ45" s="685"/>
      <c r="ELR45" s="685"/>
      <c r="ELS45" s="685"/>
      <c r="ELT45" s="685"/>
      <c r="ELU45" s="685"/>
      <c r="ELV45" s="685"/>
      <c r="ELW45" s="685"/>
      <c r="ELX45" s="685"/>
      <c r="ELY45" s="685"/>
      <c r="ELZ45" s="685"/>
      <c r="EMA45" s="685"/>
      <c r="EMB45" s="685"/>
      <c r="EMC45" s="685"/>
      <c r="EMD45" s="685"/>
      <c r="EME45" s="685"/>
      <c r="EMF45" s="685"/>
      <c r="EMG45" s="685"/>
      <c r="EMH45" s="685"/>
      <c r="EMI45" s="685"/>
      <c r="EMJ45" s="685"/>
      <c r="EMK45" s="685"/>
      <c r="EML45" s="685"/>
      <c r="EMM45" s="685"/>
      <c r="EMN45" s="685"/>
      <c r="EMO45" s="685"/>
      <c r="EMP45" s="685"/>
      <c r="EMQ45" s="685"/>
      <c r="EMR45" s="685"/>
      <c r="EMS45" s="685"/>
      <c r="EMT45" s="685"/>
      <c r="EMU45" s="685"/>
      <c r="EMV45" s="685"/>
      <c r="EMW45" s="685"/>
      <c r="EMX45" s="685"/>
      <c r="EMY45" s="685"/>
      <c r="EMZ45" s="685"/>
      <c r="ENA45" s="685"/>
      <c r="ENB45" s="685"/>
      <c r="ENC45" s="685"/>
      <c r="END45" s="685"/>
      <c r="ENE45" s="685"/>
      <c r="ENF45" s="685"/>
      <c r="ENG45" s="685"/>
      <c r="ENH45" s="685"/>
      <c r="ENI45" s="685"/>
      <c r="ENJ45" s="685"/>
      <c r="ENK45" s="685"/>
      <c r="ENL45" s="685"/>
      <c r="ENM45" s="685"/>
      <c r="ENN45" s="685"/>
      <c r="ENO45" s="685"/>
      <c r="ENP45" s="685"/>
      <c r="ENQ45" s="685"/>
      <c r="ENR45" s="685"/>
      <c r="ENS45" s="685"/>
      <c r="ENT45" s="685"/>
      <c r="ENU45" s="685"/>
      <c r="ENV45" s="685"/>
      <c r="ENW45" s="685"/>
      <c r="ENX45" s="685"/>
      <c r="ENY45" s="685"/>
      <c r="ENZ45" s="685"/>
      <c r="EOA45" s="685"/>
      <c r="EOB45" s="685"/>
      <c r="EOC45" s="685"/>
      <c r="EOD45" s="685"/>
      <c r="EOE45" s="685"/>
      <c r="EOF45" s="685"/>
      <c r="EOG45" s="685"/>
      <c r="EOH45" s="685"/>
      <c r="EOI45" s="685"/>
      <c r="EOJ45" s="685"/>
      <c r="EOK45" s="685"/>
      <c r="EOL45" s="685"/>
      <c r="EOM45" s="685"/>
      <c r="EON45" s="685"/>
      <c r="EOO45" s="685"/>
      <c r="EOP45" s="685"/>
      <c r="EOQ45" s="685"/>
      <c r="EOR45" s="685"/>
      <c r="EOS45" s="685"/>
      <c r="EOT45" s="685"/>
      <c r="EOU45" s="685"/>
      <c r="EOV45" s="685"/>
      <c r="EOW45" s="685"/>
      <c r="EOX45" s="685"/>
      <c r="EOY45" s="685"/>
      <c r="EOZ45" s="685"/>
      <c r="EPA45" s="685"/>
      <c r="EPB45" s="685"/>
      <c r="EPC45" s="685"/>
      <c r="EPD45" s="685"/>
      <c r="EPE45" s="685"/>
      <c r="EPF45" s="685"/>
      <c r="EPG45" s="685"/>
      <c r="EPH45" s="685"/>
      <c r="EPI45" s="685"/>
      <c r="EPJ45" s="685"/>
      <c r="EPK45" s="685"/>
      <c r="EPL45" s="685"/>
      <c r="EPM45" s="685"/>
      <c r="EPN45" s="685"/>
      <c r="EPO45" s="685"/>
      <c r="EPP45" s="685"/>
      <c r="EPQ45" s="685"/>
      <c r="EPR45" s="685"/>
      <c r="EPS45" s="685"/>
      <c r="EPT45" s="685"/>
      <c r="EPU45" s="685"/>
      <c r="EPV45" s="685"/>
      <c r="EPW45" s="685"/>
      <c r="EPX45" s="685"/>
      <c r="EPY45" s="685"/>
      <c r="EPZ45" s="685"/>
      <c r="EQA45" s="685"/>
      <c r="EQB45" s="685"/>
      <c r="EQC45" s="685"/>
      <c r="EQD45" s="685"/>
      <c r="EQE45" s="685"/>
      <c r="EQF45" s="685"/>
      <c r="EQG45" s="685"/>
      <c r="EQH45" s="685"/>
      <c r="EQI45" s="685"/>
      <c r="EQJ45" s="685"/>
      <c r="EQK45" s="685"/>
      <c r="EQL45" s="685"/>
      <c r="EQM45" s="685"/>
      <c r="EQN45" s="685"/>
      <c r="EQO45" s="685"/>
      <c r="EQP45" s="685"/>
      <c r="EQQ45" s="685"/>
      <c r="EQR45" s="685"/>
      <c r="EQS45" s="685"/>
      <c r="EQT45" s="685"/>
      <c r="EQU45" s="685"/>
      <c r="EQV45" s="685"/>
      <c r="EQW45" s="685"/>
      <c r="EQX45" s="685"/>
      <c r="EQY45" s="685"/>
      <c r="EQZ45" s="685"/>
      <c r="ERA45" s="685"/>
      <c r="ERB45" s="685"/>
      <c r="ERC45" s="685"/>
      <c r="ERD45" s="685"/>
      <c r="ERE45" s="685"/>
      <c r="ERF45" s="685"/>
      <c r="ERG45" s="685"/>
      <c r="ERH45" s="685"/>
      <c r="ERI45" s="685"/>
      <c r="ERJ45" s="685"/>
      <c r="ERK45" s="685"/>
      <c r="ERL45" s="685"/>
      <c r="ERM45" s="685"/>
      <c r="ERN45" s="685"/>
      <c r="ERO45" s="685"/>
      <c r="ERP45" s="685"/>
      <c r="ERQ45" s="685"/>
      <c r="ERR45" s="685"/>
      <c r="ERS45" s="685"/>
      <c r="ERT45" s="685"/>
      <c r="ERU45" s="685"/>
      <c r="ERV45" s="685"/>
      <c r="ERW45" s="685"/>
      <c r="ERX45" s="685"/>
      <c r="ERY45" s="685"/>
      <c r="ERZ45" s="685"/>
      <c r="ESA45" s="685"/>
      <c r="ESB45" s="685"/>
      <c r="ESC45" s="685"/>
      <c r="ESD45" s="685"/>
      <c r="ESE45" s="685"/>
      <c r="ESF45" s="685"/>
      <c r="ESG45" s="685"/>
      <c r="ESH45" s="685"/>
      <c r="ESI45" s="685"/>
      <c r="ESJ45" s="685"/>
      <c r="ESK45" s="685"/>
      <c r="ESL45" s="685"/>
      <c r="ESM45" s="685"/>
      <c r="ESN45" s="685"/>
      <c r="ESO45" s="685"/>
      <c r="ESP45" s="685"/>
      <c r="ESQ45" s="685"/>
      <c r="ESR45" s="685"/>
      <c r="ESS45" s="685"/>
      <c r="EST45" s="685"/>
      <c r="ESU45" s="685"/>
      <c r="ESV45" s="685"/>
      <c r="ESW45" s="685"/>
      <c r="ESX45" s="685"/>
      <c r="ESY45" s="685"/>
      <c r="ESZ45" s="685"/>
      <c r="ETA45" s="685"/>
      <c r="ETB45" s="685"/>
      <c r="ETC45" s="685"/>
      <c r="ETD45" s="685"/>
      <c r="ETE45" s="685"/>
      <c r="ETF45" s="685"/>
      <c r="ETG45" s="685"/>
      <c r="ETH45" s="685"/>
      <c r="ETI45" s="685"/>
      <c r="ETJ45" s="685"/>
      <c r="ETK45" s="685"/>
      <c r="ETL45" s="685"/>
      <c r="ETM45" s="685"/>
      <c r="ETN45" s="685"/>
      <c r="ETO45" s="685"/>
      <c r="ETP45" s="685"/>
      <c r="ETQ45" s="685"/>
      <c r="ETR45" s="685"/>
      <c r="ETS45" s="685"/>
      <c r="ETT45" s="685"/>
      <c r="ETU45" s="685"/>
      <c r="ETV45" s="685"/>
      <c r="ETW45" s="685"/>
      <c r="ETX45" s="685"/>
      <c r="ETY45" s="685"/>
      <c r="ETZ45" s="685"/>
      <c r="EUA45" s="685"/>
      <c r="EUB45" s="685"/>
      <c r="EUC45" s="685"/>
      <c r="EUD45" s="685"/>
      <c r="EUE45" s="685"/>
      <c r="EUF45" s="685"/>
      <c r="EUG45" s="685"/>
      <c r="EUH45" s="685"/>
      <c r="EUI45" s="685"/>
      <c r="EUJ45" s="685"/>
      <c r="EUK45" s="685"/>
      <c r="EUL45" s="685"/>
      <c r="EUM45" s="685"/>
      <c r="EUN45" s="685"/>
      <c r="EUO45" s="685"/>
      <c r="EUP45" s="685"/>
      <c r="EUQ45" s="685"/>
      <c r="EUR45" s="685"/>
      <c r="EUS45" s="685"/>
      <c r="EUT45" s="685"/>
      <c r="EUU45" s="685"/>
      <c r="EUV45" s="685"/>
      <c r="EUW45" s="685"/>
      <c r="EUX45" s="685"/>
      <c r="EUY45" s="685"/>
      <c r="EUZ45" s="685"/>
      <c r="EVA45" s="685"/>
      <c r="EVB45" s="685"/>
      <c r="EVC45" s="685"/>
      <c r="EVD45" s="685"/>
      <c r="EVE45" s="685"/>
      <c r="EVF45" s="685"/>
      <c r="EVG45" s="685"/>
      <c r="EVH45" s="685"/>
      <c r="EVI45" s="685"/>
      <c r="EVJ45" s="685"/>
      <c r="EVK45" s="685"/>
      <c r="EVL45" s="685"/>
      <c r="EVM45" s="685"/>
      <c r="EVN45" s="685"/>
      <c r="EVO45" s="685"/>
      <c r="EVP45" s="685"/>
      <c r="EVQ45" s="685"/>
      <c r="EVR45" s="685"/>
      <c r="EVS45" s="685"/>
      <c r="EVT45" s="685"/>
      <c r="EVU45" s="685"/>
      <c r="EVV45" s="685"/>
      <c r="EVW45" s="685"/>
      <c r="EVX45" s="685"/>
      <c r="EVY45" s="685"/>
      <c r="EVZ45" s="685"/>
      <c r="EWA45" s="685"/>
      <c r="EWB45" s="685"/>
      <c r="EWC45" s="685"/>
      <c r="EWD45" s="685"/>
      <c r="EWE45" s="685"/>
      <c r="EWF45" s="685"/>
      <c r="EWG45" s="685"/>
      <c r="EWH45" s="685"/>
      <c r="EWI45" s="685"/>
      <c r="EWJ45" s="685"/>
      <c r="EWK45" s="685"/>
      <c r="EWL45" s="685"/>
      <c r="EWM45" s="685"/>
      <c r="EWN45" s="685"/>
      <c r="EWO45" s="685"/>
      <c r="EWP45" s="685"/>
      <c r="EWQ45" s="685"/>
      <c r="EWR45" s="685"/>
      <c r="EWS45" s="685"/>
      <c r="EWT45" s="685"/>
      <c r="EWU45" s="685"/>
      <c r="EWV45" s="685"/>
      <c r="EWW45" s="685"/>
      <c r="EWX45" s="685"/>
      <c r="EWY45" s="685"/>
      <c r="EWZ45" s="685"/>
      <c r="EXA45" s="685"/>
      <c r="EXB45" s="685"/>
      <c r="EXC45" s="685"/>
      <c r="EXD45" s="685"/>
      <c r="EXE45" s="685"/>
      <c r="EXF45" s="685"/>
      <c r="EXG45" s="685"/>
      <c r="EXH45" s="685"/>
      <c r="EXI45" s="685"/>
      <c r="EXJ45" s="685"/>
      <c r="EXK45" s="685"/>
      <c r="EXL45" s="685"/>
      <c r="EXM45" s="685"/>
      <c r="EXN45" s="685"/>
      <c r="EXO45" s="685"/>
      <c r="EXP45" s="685"/>
      <c r="EXQ45" s="685"/>
      <c r="EXR45" s="685"/>
      <c r="EXS45" s="685"/>
      <c r="EXT45" s="685"/>
      <c r="EXU45" s="685"/>
      <c r="EXV45" s="685"/>
      <c r="EXW45" s="685"/>
      <c r="EXX45" s="685"/>
      <c r="EXY45" s="685"/>
      <c r="EXZ45" s="685"/>
      <c r="EYA45" s="685"/>
      <c r="EYB45" s="685"/>
      <c r="EYC45" s="685"/>
      <c r="EYD45" s="685"/>
      <c r="EYE45" s="685"/>
      <c r="EYF45" s="685"/>
      <c r="EYG45" s="685"/>
      <c r="EYH45" s="685"/>
      <c r="EYI45" s="685"/>
      <c r="EYJ45" s="685"/>
      <c r="EYK45" s="685"/>
      <c r="EYL45" s="685"/>
      <c r="EYM45" s="685"/>
      <c r="EYN45" s="685"/>
      <c r="EYO45" s="685"/>
      <c r="EYP45" s="685"/>
      <c r="EYQ45" s="685"/>
      <c r="EYR45" s="685"/>
      <c r="EYS45" s="685"/>
      <c r="EYT45" s="685"/>
      <c r="EYU45" s="685"/>
      <c r="EYV45" s="685"/>
      <c r="EYW45" s="685"/>
      <c r="EYX45" s="685"/>
      <c r="EYY45" s="685"/>
      <c r="EYZ45" s="685"/>
      <c r="EZA45" s="685"/>
      <c r="EZB45" s="685"/>
      <c r="EZC45" s="685"/>
      <c r="EZD45" s="685"/>
      <c r="EZE45" s="685"/>
      <c r="EZF45" s="685"/>
      <c r="EZG45" s="685"/>
      <c r="EZH45" s="685"/>
      <c r="EZI45" s="685"/>
      <c r="EZJ45" s="685"/>
      <c r="EZK45" s="685"/>
      <c r="EZL45" s="685"/>
      <c r="EZM45" s="685"/>
      <c r="EZN45" s="685"/>
      <c r="EZO45" s="685"/>
      <c r="EZP45" s="685"/>
      <c r="EZQ45" s="685"/>
      <c r="EZR45" s="685"/>
      <c r="EZS45" s="685"/>
      <c r="EZT45" s="685"/>
      <c r="EZU45" s="685"/>
      <c r="EZV45" s="685"/>
      <c r="EZW45" s="685"/>
      <c r="EZX45" s="685"/>
      <c r="EZY45" s="685"/>
      <c r="EZZ45" s="685"/>
      <c r="FAA45" s="685"/>
      <c r="FAB45" s="685"/>
      <c r="FAC45" s="685"/>
      <c r="FAD45" s="685"/>
      <c r="FAE45" s="685"/>
      <c r="FAF45" s="685"/>
      <c r="FAG45" s="685"/>
      <c r="FAH45" s="685"/>
      <c r="FAI45" s="685"/>
      <c r="FAJ45" s="685"/>
      <c r="FAK45" s="685"/>
      <c r="FAL45" s="685"/>
      <c r="FAM45" s="685"/>
      <c r="FAN45" s="685"/>
      <c r="FAO45" s="685"/>
      <c r="FAP45" s="685"/>
      <c r="FAQ45" s="685"/>
      <c r="FAR45" s="685"/>
      <c r="FAS45" s="685"/>
      <c r="FAT45" s="685"/>
      <c r="FAU45" s="685"/>
      <c r="FAV45" s="685"/>
      <c r="FAW45" s="685"/>
      <c r="FAX45" s="685"/>
      <c r="FAY45" s="685"/>
      <c r="FAZ45" s="685"/>
      <c r="FBA45" s="685"/>
      <c r="FBB45" s="685"/>
      <c r="FBC45" s="685"/>
      <c r="FBD45" s="685"/>
      <c r="FBE45" s="685"/>
      <c r="FBF45" s="685"/>
      <c r="FBG45" s="685"/>
      <c r="FBH45" s="685"/>
      <c r="FBI45" s="685"/>
      <c r="FBJ45" s="685"/>
      <c r="FBK45" s="685"/>
      <c r="FBL45" s="685"/>
      <c r="FBM45" s="685"/>
      <c r="FBN45" s="685"/>
      <c r="FBO45" s="685"/>
      <c r="FBP45" s="685"/>
      <c r="FBQ45" s="685"/>
      <c r="FBR45" s="685"/>
      <c r="FBS45" s="685"/>
      <c r="FBT45" s="685"/>
      <c r="FBU45" s="685"/>
      <c r="FBV45" s="685"/>
      <c r="FBW45" s="685"/>
      <c r="FBX45" s="685"/>
      <c r="FBY45" s="685"/>
      <c r="FBZ45" s="685"/>
      <c r="FCA45" s="685"/>
      <c r="FCB45" s="685"/>
      <c r="FCC45" s="685"/>
      <c r="FCD45" s="685"/>
      <c r="FCE45" s="685"/>
      <c r="FCF45" s="685"/>
      <c r="FCG45" s="685"/>
      <c r="FCH45" s="685"/>
      <c r="FCI45" s="685"/>
      <c r="FCJ45" s="685"/>
      <c r="FCK45" s="685"/>
      <c r="FCL45" s="685"/>
      <c r="FCM45" s="685"/>
      <c r="FCN45" s="685"/>
      <c r="FCO45" s="685"/>
      <c r="FCP45" s="685"/>
      <c r="FCQ45" s="685"/>
      <c r="FCR45" s="685"/>
      <c r="FCS45" s="685"/>
      <c r="FCT45" s="685"/>
      <c r="FCU45" s="685"/>
      <c r="FCV45" s="685"/>
      <c r="FCW45" s="685"/>
      <c r="FCX45" s="685"/>
      <c r="FCY45" s="685"/>
      <c r="FCZ45" s="685"/>
      <c r="FDA45" s="685"/>
      <c r="FDB45" s="685"/>
      <c r="FDC45" s="685"/>
      <c r="FDD45" s="685"/>
      <c r="FDE45" s="685"/>
      <c r="FDF45" s="685"/>
      <c r="FDG45" s="685"/>
      <c r="FDH45" s="685"/>
      <c r="FDI45" s="685"/>
      <c r="FDJ45" s="685"/>
      <c r="FDK45" s="685"/>
      <c r="FDL45" s="685"/>
      <c r="FDM45" s="685"/>
      <c r="FDN45" s="685"/>
      <c r="FDO45" s="685"/>
      <c r="FDP45" s="685"/>
      <c r="FDQ45" s="685"/>
      <c r="FDR45" s="685"/>
      <c r="FDS45" s="685"/>
      <c r="FDT45" s="685"/>
      <c r="FDU45" s="685"/>
      <c r="FDV45" s="685"/>
      <c r="FDW45" s="685"/>
      <c r="FDX45" s="685"/>
      <c r="FDY45" s="685"/>
      <c r="FDZ45" s="685"/>
      <c r="FEA45" s="685"/>
      <c r="FEB45" s="685"/>
      <c r="FEC45" s="685"/>
      <c r="FED45" s="685"/>
      <c r="FEE45" s="685"/>
      <c r="FEF45" s="685"/>
      <c r="FEG45" s="685"/>
      <c r="FEH45" s="685"/>
      <c r="FEI45" s="685"/>
      <c r="FEJ45" s="685"/>
      <c r="FEK45" s="685"/>
      <c r="FEL45" s="685"/>
      <c r="FEM45" s="685"/>
      <c r="FEN45" s="685"/>
      <c r="FEO45" s="685"/>
      <c r="FEP45" s="685"/>
      <c r="FEQ45" s="685"/>
      <c r="FER45" s="685"/>
      <c r="FES45" s="685"/>
      <c r="FET45" s="685"/>
      <c r="FEU45" s="685"/>
      <c r="FEV45" s="685"/>
      <c r="FEW45" s="685"/>
      <c r="FEX45" s="685"/>
      <c r="FEY45" s="685"/>
      <c r="FEZ45" s="685"/>
      <c r="FFA45" s="685"/>
      <c r="FFB45" s="685"/>
      <c r="FFC45" s="685"/>
      <c r="FFD45" s="685"/>
      <c r="FFE45" s="685"/>
      <c r="FFF45" s="685"/>
      <c r="FFG45" s="685"/>
      <c r="FFH45" s="685"/>
      <c r="FFI45" s="685"/>
      <c r="FFJ45" s="685"/>
      <c r="FFK45" s="685"/>
      <c r="FFL45" s="685"/>
      <c r="FFM45" s="685"/>
      <c r="FFN45" s="685"/>
      <c r="FFO45" s="685"/>
      <c r="FFP45" s="685"/>
      <c r="FFQ45" s="685"/>
      <c r="FFR45" s="685"/>
      <c r="FFS45" s="685"/>
      <c r="FFT45" s="685"/>
      <c r="FFU45" s="685"/>
      <c r="FFV45" s="685"/>
      <c r="FFW45" s="685"/>
      <c r="FFX45" s="685"/>
      <c r="FFY45" s="685"/>
      <c r="FFZ45" s="685"/>
      <c r="FGA45" s="685"/>
      <c r="FGB45" s="685"/>
      <c r="FGC45" s="685"/>
      <c r="FGD45" s="685"/>
      <c r="FGE45" s="685"/>
      <c r="FGF45" s="685"/>
      <c r="FGG45" s="685"/>
      <c r="FGH45" s="685"/>
      <c r="FGI45" s="685"/>
      <c r="FGJ45" s="685"/>
      <c r="FGK45" s="685"/>
      <c r="FGL45" s="685"/>
      <c r="FGM45" s="685"/>
      <c r="FGN45" s="685"/>
      <c r="FGO45" s="685"/>
      <c r="FGP45" s="685"/>
      <c r="FGQ45" s="685"/>
      <c r="FGR45" s="685"/>
      <c r="FGS45" s="685"/>
      <c r="FGT45" s="685"/>
      <c r="FGU45" s="685"/>
      <c r="FGV45" s="685"/>
      <c r="FGW45" s="685"/>
      <c r="FGX45" s="685"/>
      <c r="FGY45" s="685"/>
      <c r="FGZ45" s="685"/>
      <c r="FHA45" s="685"/>
      <c r="FHB45" s="685"/>
      <c r="FHC45" s="685"/>
      <c r="FHD45" s="685"/>
      <c r="FHE45" s="685"/>
      <c r="FHF45" s="685"/>
      <c r="FHG45" s="685"/>
      <c r="FHH45" s="685"/>
      <c r="FHI45" s="685"/>
      <c r="FHJ45" s="685"/>
      <c r="FHK45" s="685"/>
      <c r="FHL45" s="685"/>
      <c r="FHM45" s="685"/>
      <c r="FHN45" s="685"/>
      <c r="FHO45" s="685"/>
      <c r="FHP45" s="685"/>
      <c r="FHQ45" s="685"/>
      <c r="FHR45" s="685"/>
      <c r="FHS45" s="685"/>
      <c r="FHT45" s="685"/>
      <c r="FHU45" s="685"/>
      <c r="FHV45" s="685"/>
      <c r="FHW45" s="685"/>
      <c r="FHX45" s="685"/>
      <c r="FHY45" s="685"/>
      <c r="FHZ45" s="685"/>
      <c r="FIA45" s="685"/>
      <c r="FIB45" s="685"/>
      <c r="FIC45" s="685"/>
      <c r="FID45" s="685"/>
      <c r="FIE45" s="685"/>
      <c r="FIF45" s="685"/>
      <c r="FIG45" s="685"/>
      <c r="FIH45" s="685"/>
      <c r="FII45" s="685"/>
      <c r="FIJ45" s="685"/>
      <c r="FIK45" s="685"/>
      <c r="FIL45" s="685"/>
      <c r="FIM45" s="685"/>
      <c r="FIN45" s="685"/>
      <c r="FIO45" s="685"/>
      <c r="FIP45" s="685"/>
      <c r="FIQ45" s="685"/>
      <c r="FIR45" s="685"/>
      <c r="FIS45" s="685"/>
      <c r="FIT45" s="685"/>
      <c r="FIU45" s="685"/>
      <c r="FIV45" s="685"/>
      <c r="FIW45" s="685"/>
      <c r="FIX45" s="685"/>
      <c r="FIY45" s="685"/>
      <c r="FIZ45" s="685"/>
      <c r="FJA45" s="685"/>
      <c r="FJB45" s="685"/>
      <c r="FJC45" s="685"/>
      <c r="FJD45" s="685"/>
      <c r="FJE45" s="685"/>
      <c r="FJF45" s="685"/>
      <c r="FJG45" s="685"/>
      <c r="FJH45" s="685"/>
      <c r="FJI45" s="685"/>
      <c r="FJJ45" s="685"/>
      <c r="FJK45" s="685"/>
      <c r="FJL45" s="685"/>
      <c r="FJM45" s="685"/>
      <c r="FJN45" s="685"/>
      <c r="FJO45" s="685"/>
      <c r="FJP45" s="685"/>
      <c r="FJQ45" s="685"/>
      <c r="FJR45" s="685"/>
      <c r="FJS45" s="685"/>
      <c r="FJT45" s="685"/>
      <c r="FJU45" s="685"/>
      <c r="FJV45" s="685"/>
      <c r="FJW45" s="685"/>
      <c r="FJX45" s="685"/>
      <c r="FJY45" s="685"/>
      <c r="FJZ45" s="685"/>
      <c r="FKA45" s="685"/>
      <c r="FKB45" s="685"/>
      <c r="FKC45" s="685"/>
      <c r="FKD45" s="685"/>
      <c r="FKE45" s="685"/>
      <c r="FKF45" s="685"/>
      <c r="FKG45" s="685"/>
      <c r="FKH45" s="685"/>
      <c r="FKI45" s="685"/>
      <c r="FKJ45" s="685"/>
      <c r="FKK45" s="685"/>
      <c r="FKL45" s="685"/>
      <c r="FKM45" s="685"/>
      <c r="FKN45" s="685"/>
      <c r="FKO45" s="685"/>
      <c r="FKP45" s="685"/>
      <c r="FKQ45" s="685"/>
      <c r="FKR45" s="685"/>
      <c r="FKS45" s="685"/>
      <c r="FKT45" s="685"/>
      <c r="FKU45" s="685"/>
      <c r="FKV45" s="685"/>
      <c r="FKW45" s="685"/>
      <c r="FKX45" s="685"/>
      <c r="FKY45" s="685"/>
      <c r="FKZ45" s="685"/>
      <c r="FLA45" s="685"/>
      <c r="FLB45" s="685"/>
      <c r="FLC45" s="685"/>
      <c r="FLD45" s="685"/>
      <c r="FLE45" s="685"/>
      <c r="FLF45" s="685"/>
      <c r="FLG45" s="685"/>
      <c r="FLH45" s="685"/>
      <c r="FLI45" s="685"/>
      <c r="FLJ45" s="685"/>
      <c r="FLK45" s="685"/>
      <c r="FLL45" s="685"/>
      <c r="FLM45" s="685"/>
      <c r="FLN45" s="685"/>
      <c r="FLO45" s="685"/>
      <c r="FLP45" s="685"/>
      <c r="FLQ45" s="685"/>
      <c r="FLR45" s="685"/>
      <c r="FLS45" s="685"/>
      <c r="FLT45" s="685"/>
      <c r="FLU45" s="685"/>
      <c r="FLV45" s="685"/>
      <c r="FLW45" s="685"/>
      <c r="FLX45" s="685"/>
      <c r="FLY45" s="685"/>
      <c r="FLZ45" s="685"/>
      <c r="FMA45" s="685"/>
      <c r="FMB45" s="685"/>
      <c r="FMC45" s="685"/>
      <c r="FMD45" s="685"/>
      <c r="FME45" s="685"/>
      <c r="FMF45" s="685"/>
      <c r="FMG45" s="685"/>
      <c r="FMH45" s="685"/>
      <c r="FMI45" s="685"/>
      <c r="FMJ45" s="685"/>
      <c r="FMK45" s="685"/>
      <c r="FML45" s="685"/>
      <c r="FMM45" s="685"/>
      <c r="FMN45" s="685"/>
      <c r="FMO45" s="685"/>
      <c r="FMP45" s="685"/>
      <c r="FMQ45" s="685"/>
      <c r="FMR45" s="685"/>
      <c r="FMS45" s="685"/>
      <c r="FMT45" s="685"/>
      <c r="FMU45" s="685"/>
      <c r="FMV45" s="685"/>
      <c r="FMW45" s="685"/>
      <c r="FMX45" s="685"/>
      <c r="FMY45" s="685"/>
      <c r="FMZ45" s="685"/>
      <c r="FNA45" s="685"/>
      <c r="FNB45" s="685"/>
      <c r="FNC45" s="685"/>
      <c r="FND45" s="685"/>
      <c r="FNE45" s="685"/>
      <c r="FNF45" s="685"/>
      <c r="FNG45" s="685"/>
      <c r="FNH45" s="685"/>
      <c r="FNI45" s="685"/>
      <c r="FNJ45" s="685"/>
      <c r="FNK45" s="685"/>
      <c r="FNL45" s="685"/>
      <c r="FNM45" s="685"/>
      <c r="FNN45" s="685"/>
      <c r="FNO45" s="685"/>
      <c r="FNP45" s="685"/>
      <c r="FNQ45" s="685"/>
      <c r="FNR45" s="685"/>
      <c r="FNS45" s="685"/>
      <c r="FNT45" s="685"/>
      <c r="FNU45" s="685"/>
      <c r="FNV45" s="685"/>
      <c r="FNW45" s="685"/>
      <c r="FNX45" s="685"/>
      <c r="FNY45" s="685"/>
      <c r="FNZ45" s="685"/>
      <c r="FOA45" s="685"/>
      <c r="FOB45" s="685"/>
      <c r="FOC45" s="685"/>
      <c r="FOD45" s="685"/>
      <c r="FOE45" s="685"/>
      <c r="FOF45" s="685"/>
      <c r="FOG45" s="685"/>
      <c r="FOH45" s="685"/>
      <c r="FOI45" s="685"/>
      <c r="FOJ45" s="685"/>
      <c r="FOK45" s="685"/>
      <c r="FOL45" s="685"/>
      <c r="FOM45" s="685"/>
      <c r="FON45" s="685"/>
      <c r="FOO45" s="685"/>
      <c r="FOP45" s="685"/>
      <c r="FOQ45" s="685"/>
      <c r="FOR45" s="685"/>
      <c r="FOS45" s="685"/>
      <c r="FOT45" s="685"/>
      <c r="FOU45" s="685"/>
      <c r="FOV45" s="685"/>
      <c r="FOW45" s="685"/>
      <c r="FOX45" s="685"/>
      <c r="FOY45" s="685"/>
      <c r="FOZ45" s="685"/>
      <c r="FPA45" s="685"/>
      <c r="FPB45" s="685"/>
      <c r="FPC45" s="685"/>
      <c r="FPD45" s="685"/>
      <c r="FPE45" s="685"/>
      <c r="FPF45" s="685"/>
      <c r="FPG45" s="685"/>
      <c r="FPH45" s="685"/>
      <c r="FPI45" s="685"/>
      <c r="FPJ45" s="685"/>
      <c r="FPK45" s="685"/>
      <c r="FPL45" s="685"/>
      <c r="FPM45" s="685"/>
      <c r="FPN45" s="685"/>
      <c r="FPO45" s="685"/>
      <c r="FPP45" s="685"/>
      <c r="FPQ45" s="685"/>
      <c r="FPR45" s="685"/>
      <c r="FPS45" s="685"/>
      <c r="FPT45" s="685"/>
      <c r="FPU45" s="685"/>
      <c r="FPV45" s="685"/>
      <c r="FPW45" s="685"/>
      <c r="FPX45" s="685"/>
      <c r="FPY45" s="685"/>
      <c r="FPZ45" s="685"/>
      <c r="FQA45" s="685"/>
      <c r="FQB45" s="685"/>
      <c r="FQC45" s="685"/>
      <c r="FQD45" s="685"/>
      <c r="FQE45" s="685"/>
      <c r="FQF45" s="685"/>
      <c r="FQG45" s="685"/>
      <c r="FQH45" s="685"/>
      <c r="FQI45" s="685"/>
      <c r="FQJ45" s="685"/>
      <c r="FQK45" s="685"/>
      <c r="FQL45" s="685"/>
      <c r="FQM45" s="685"/>
      <c r="FQN45" s="685"/>
      <c r="FQO45" s="685"/>
      <c r="FQP45" s="685"/>
      <c r="FQQ45" s="685"/>
      <c r="FQR45" s="685"/>
      <c r="FQS45" s="685"/>
      <c r="FQT45" s="685"/>
      <c r="FQU45" s="685"/>
      <c r="FQV45" s="685"/>
      <c r="FQW45" s="685"/>
      <c r="FQX45" s="685"/>
      <c r="FQY45" s="685"/>
      <c r="FQZ45" s="685"/>
      <c r="FRA45" s="685"/>
      <c r="FRB45" s="685"/>
      <c r="FRC45" s="685"/>
      <c r="FRD45" s="685"/>
      <c r="FRE45" s="685"/>
      <c r="FRF45" s="685"/>
      <c r="FRG45" s="685"/>
      <c r="FRH45" s="685"/>
      <c r="FRI45" s="685"/>
      <c r="FRJ45" s="685"/>
      <c r="FRK45" s="685"/>
      <c r="FRL45" s="685"/>
      <c r="FRM45" s="685"/>
      <c r="FRN45" s="685"/>
      <c r="FRO45" s="685"/>
      <c r="FRP45" s="685"/>
      <c r="FRQ45" s="685"/>
      <c r="FRR45" s="685"/>
      <c r="FRS45" s="685"/>
      <c r="FRT45" s="685"/>
      <c r="FRU45" s="685"/>
      <c r="FRV45" s="685"/>
      <c r="FRW45" s="685"/>
      <c r="FRX45" s="685"/>
      <c r="FRY45" s="685"/>
      <c r="FRZ45" s="685"/>
      <c r="FSA45" s="685"/>
      <c r="FSB45" s="685"/>
      <c r="FSC45" s="685"/>
      <c r="FSD45" s="685"/>
      <c r="FSE45" s="685"/>
      <c r="FSF45" s="685"/>
      <c r="FSG45" s="685"/>
      <c r="FSH45" s="685"/>
      <c r="FSI45" s="685"/>
      <c r="FSJ45" s="685"/>
      <c r="FSK45" s="685"/>
      <c r="FSL45" s="685"/>
      <c r="FSM45" s="685"/>
      <c r="FSN45" s="685"/>
      <c r="FSO45" s="685"/>
      <c r="FSP45" s="685"/>
      <c r="FSQ45" s="685"/>
      <c r="FSR45" s="685"/>
      <c r="FSS45" s="685"/>
      <c r="FST45" s="685"/>
      <c r="FSU45" s="685"/>
      <c r="FSV45" s="685"/>
      <c r="FSW45" s="685"/>
      <c r="FSX45" s="685"/>
      <c r="FSY45" s="685"/>
      <c r="FSZ45" s="685"/>
      <c r="FTA45" s="685"/>
      <c r="FTB45" s="685"/>
      <c r="FTC45" s="685"/>
      <c r="FTD45" s="685"/>
      <c r="FTE45" s="685"/>
      <c r="FTF45" s="685"/>
      <c r="FTG45" s="685"/>
      <c r="FTH45" s="685"/>
      <c r="FTI45" s="685"/>
      <c r="FTJ45" s="685"/>
      <c r="FTK45" s="685"/>
      <c r="FTL45" s="685"/>
      <c r="FTM45" s="685"/>
      <c r="FTN45" s="685"/>
      <c r="FTO45" s="685"/>
      <c r="FTP45" s="685"/>
      <c r="FTQ45" s="685"/>
      <c r="FTR45" s="685"/>
      <c r="FTS45" s="685"/>
      <c r="FTT45" s="685"/>
      <c r="FTU45" s="685"/>
      <c r="FTV45" s="685"/>
      <c r="FTW45" s="685"/>
      <c r="FTX45" s="685"/>
      <c r="FTY45" s="685"/>
      <c r="FTZ45" s="685"/>
      <c r="FUA45" s="685"/>
      <c r="FUB45" s="685"/>
      <c r="FUC45" s="685"/>
      <c r="FUD45" s="685"/>
      <c r="FUE45" s="685"/>
      <c r="FUF45" s="685"/>
      <c r="FUG45" s="685"/>
      <c r="FUH45" s="685"/>
      <c r="FUI45" s="685"/>
      <c r="FUJ45" s="685"/>
      <c r="FUK45" s="685"/>
      <c r="FUL45" s="685"/>
      <c r="FUM45" s="685"/>
      <c r="FUN45" s="685"/>
      <c r="FUO45" s="685"/>
      <c r="FUP45" s="685"/>
      <c r="FUQ45" s="685"/>
      <c r="FUR45" s="685"/>
      <c r="FUS45" s="685"/>
      <c r="FUT45" s="685"/>
      <c r="FUU45" s="685"/>
      <c r="FUV45" s="685"/>
      <c r="FUW45" s="685"/>
      <c r="FUX45" s="685"/>
      <c r="FUY45" s="685"/>
      <c r="FUZ45" s="685"/>
      <c r="FVA45" s="685"/>
      <c r="FVB45" s="685"/>
      <c r="FVC45" s="685"/>
      <c r="FVD45" s="685"/>
      <c r="FVE45" s="685"/>
      <c r="FVF45" s="685"/>
      <c r="FVG45" s="685"/>
      <c r="FVH45" s="685"/>
      <c r="FVI45" s="685"/>
      <c r="FVJ45" s="685"/>
      <c r="FVK45" s="685"/>
      <c r="FVL45" s="685"/>
      <c r="FVM45" s="685"/>
      <c r="FVN45" s="685"/>
      <c r="FVO45" s="685"/>
      <c r="FVP45" s="685"/>
      <c r="FVQ45" s="685"/>
      <c r="FVR45" s="685"/>
      <c r="FVS45" s="685"/>
      <c r="FVT45" s="685"/>
      <c r="FVU45" s="685"/>
      <c r="FVV45" s="685"/>
      <c r="FVW45" s="685"/>
      <c r="FVX45" s="685"/>
      <c r="FVY45" s="685"/>
      <c r="FVZ45" s="685"/>
      <c r="FWA45" s="685"/>
      <c r="FWB45" s="685"/>
      <c r="FWC45" s="685"/>
      <c r="FWD45" s="685"/>
      <c r="FWE45" s="685"/>
      <c r="FWF45" s="685"/>
      <c r="FWG45" s="685"/>
      <c r="FWH45" s="685"/>
      <c r="FWI45" s="685"/>
      <c r="FWJ45" s="685"/>
      <c r="FWK45" s="685"/>
      <c r="FWL45" s="685"/>
      <c r="FWM45" s="685"/>
      <c r="FWN45" s="685"/>
      <c r="FWO45" s="685"/>
      <c r="FWP45" s="685"/>
      <c r="FWQ45" s="685"/>
      <c r="FWR45" s="685"/>
      <c r="FWS45" s="685"/>
      <c r="FWT45" s="685"/>
      <c r="FWU45" s="685"/>
      <c r="FWV45" s="685"/>
      <c r="FWW45" s="685"/>
      <c r="FWX45" s="685"/>
      <c r="FWY45" s="685"/>
      <c r="FWZ45" s="685"/>
      <c r="FXA45" s="685"/>
      <c r="FXB45" s="685"/>
      <c r="FXC45" s="685"/>
      <c r="FXD45" s="685"/>
      <c r="FXE45" s="685"/>
      <c r="FXF45" s="685"/>
      <c r="FXG45" s="685"/>
      <c r="FXH45" s="685"/>
      <c r="FXI45" s="685"/>
      <c r="FXJ45" s="685"/>
      <c r="FXK45" s="685"/>
      <c r="FXL45" s="685"/>
      <c r="FXM45" s="685"/>
      <c r="FXN45" s="685"/>
      <c r="FXO45" s="685"/>
      <c r="FXP45" s="685"/>
      <c r="FXQ45" s="685"/>
      <c r="FXR45" s="685"/>
      <c r="FXS45" s="685"/>
      <c r="FXT45" s="685"/>
      <c r="FXU45" s="685"/>
      <c r="FXV45" s="685"/>
      <c r="FXW45" s="685"/>
      <c r="FXX45" s="685"/>
      <c r="FXY45" s="685"/>
      <c r="FXZ45" s="685"/>
      <c r="FYA45" s="685"/>
      <c r="FYB45" s="685"/>
      <c r="FYC45" s="685"/>
      <c r="FYD45" s="685"/>
      <c r="FYE45" s="685"/>
      <c r="FYF45" s="685"/>
      <c r="FYG45" s="685"/>
      <c r="FYH45" s="685"/>
      <c r="FYI45" s="685"/>
      <c r="FYJ45" s="685"/>
      <c r="FYK45" s="685"/>
      <c r="FYL45" s="685"/>
      <c r="FYM45" s="685"/>
      <c r="FYN45" s="685"/>
      <c r="FYO45" s="685"/>
      <c r="FYP45" s="685"/>
      <c r="FYQ45" s="685"/>
      <c r="FYR45" s="685"/>
      <c r="FYS45" s="685"/>
      <c r="FYT45" s="685"/>
      <c r="FYU45" s="685"/>
      <c r="FYV45" s="685"/>
      <c r="FYW45" s="685"/>
      <c r="FYX45" s="685"/>
      <c r="FYY45" s="685"/>
      <c r="FYZ45" s="685"/>
      <c r="FZA45" s="685"/>
      <c r="FZB45" s="685"/>
      <c r="FZC45" s="685"/>
      <c r="FZD45" s="685"/>
      <c r="FZE45" s="685"/>
      <c r="FZF45" s="685"/>
      <c r="FZG45" s="685"/>
      <c r="FZH45" s="685"/>
      <c r="FZI45" s="685"/>
      <c r="FZJ45" s="685"/>
      <c r="FZK45" s="685"/>
      <c r="FZL45" s="685"/>
      <c r="FZM45" s="685"/>
      <c r="FZN45" s="685"/>
      <c r="FZO45" s="685"/>
      <c r="FZP45" s="685"/>
      <c r="FZQ45" s="685"/>
      <c r="FZR45" s="685"/>
      <c r="FZS45" s="685"/>
      <c r="FZT45" s="685"/>
      <c r="FZU45" s="685"/>
      <c r="FZV45" s="685"/>
      <c r="FZW45" s="685"/>
      <c r="FZX45" s="685"/>
      <c r="FZY45" s="685"/>
      <c r="FZZ45" s="685"/>
      <c r="GAA45" s="685"/>
      <c r="GAB45" s="685"/>
      <c r="GAC45" s="685"/>
      <c r="GAD45" s="685"/>
      <c r="GAE45" s="685"/>
      <c r="GAF45" s="685"/>
      <c r="GAG45" s="685"/>
      <c r="GAH45" s="685"/>
      <c r="GAI45" s="685"/>
      <c r="GAJ45" s="685"/>
      <c r="GAK45" s="685"/>
      <c r="GAL45" s="685"/>
      <c r="GAM45" s="685"/>
      <c r="GAN45" s="685"/>
      <c r="GAO45" s="685"/>
      <c r="GAP45" s="685"/>
      <c r="GAQ45" s="685"/>
      <c r="GAR45" s="685"/>
      <c r="GAS45" s="685"/>
      <c r="GAT45" s="685"/>
      <c r="GAU45" s="685"/>
      <c r="GAV45" s="685"/>
      <c r="GAW45" s="685"/>
      <c r="GAX45" s="685"/>
      <c r="GAY45" s="685"/>
      <c r="GAZ45" s="685"/>
      <c r="GBA45" s="685"/>
      <c r="GBB45" s="685"/>
      <c r="GBC45" s="685"/>
      <c r="GBD45" s="685"/>
      <c r="GBE45" s="685"/>
      <c r="GBF45" s="685"/>
      <c r="GBG45" s="685"/>
      <c r="GBH45" s="685"/>
      <c r="GBI45" s="685"/>
      <c r="GBJ45" s="685"/>
      <c r="GBK45" s="685"/>
      <c r="GBL45" s="685"/>
      <c r="GBM45" s="685"/>
      <c r="GBN45" s="685"/>
      <c r="GBO45" s="685"/>
      <c r="GBP45" s="685"/>
      <c r="GBQ45" s="685"/>
      <c r="GBR45" s="685"/>
      <c r="GBS45" s="685"/>
      <c r="GBT45" s="685"/>
      <c r="GBU45" s="685"/>
      <c r="GBV45" s="685"/>
      <c r="GBW45" s="685"/>
      <c r="GBX45" s="685"/>
      <c r="GBY45" s="685"/>
      <c r="GBZ45" s="685"/>
      <c r="GCA45" s="685"/>
      <c r="GCB45" s="685"/>
      <c r="GCC45" s="685"/>
      <c r="GCD45" s="685"/>
      <c r="GCE45" s="685"/>
      <c r="GCF45" s="685"/>
      <c r="GCG45" s="685"/>
      <c r="GCH45" s="685"/>
      <c r="GCI45" s="685"/>
      <c r="GCJ45" s="685"/>
      <c r="GCK45" s="685"/>
      <c r="GCL45" s="685"/>
      <c r="GCM45" s="685"/>
      <c r="GCN45" s="685"/>
      <c r="GCO45" s="685"/>
      <c r="GCP45" s="685"/>
      <c r="GCQ45" s="685"/>
      <c r="GCR45" s="685"/>
      <c r="GCS45" s="685"/>
      <c r="GCT45" s="685"/>
      <c r="GCU45" s="685"/>
      <c r="GCV45" s="685"/>
      <c r="GCW45" s="685"/>
      <c r="GCX45" s="685"/>
      <c r="GCY45" s="685"/>
      <c r="GCZ45" s="685"/>
      <c r="GDA45" s="685"/>
      <c r="GDB45" s="685"/>
      <c r="GDC45" s="685"/>
      <c r="GDD45" s="685"/>
      <c r="GDE45" s="685"/>
      <c r="GDF45" s="685"/>
      <c r="GDG45" s="685"/>
      <c r="GDH45" s="685"/>
      <c r="GDI45" s="685"/>
      <c r="GDJ45" s="685"/>
      <c r="GDK45" s="685"/>
      <c r="GDL45" s="685"/>
      <c r="GDM45" s="685"/>
      <c r="GDN45" s="685"/>
      <c r="GDO45" s="685"/>
      <c r="GDP45" s="685"/>
      <c r="GDQ45" s="685"/>
      <c r="GDR45" s="685"/>
      <c r="GDS45" s="685"/>
      <c r="GDT45" s="685"/>
      <c r="GDU45" s="685"/>
      <c r="GDV45" s="685"/>
      <c r="GDW45" s="685"/>
      <c r="GDX45" s="685"/>
      <c r="GDY45" s="685"/>
      <c r="GDZ45" s="685"/>
      <c r="GEA45" s="685"/>
      <c r="GEB45" s="685"/>
      <c r="GEC45" s="685"/>
      <c r="GED45" s="685"/>
      <c r="GEE45" s="685"/>
      <c r="GEF45" s="685"/>
      <c r="GEG45" s="685"/>
      <c r="GEH45" s="685"/>
      <c r="GEI45" s="685"/>
      <c r="GEJ45" s="685"/>
      <c r="GEK45" s="685"/>
      <c r="GEL45" s="685"/>
      <c r="GEM45" s="685"/>
      <c r="GEN45" s="685"/>
      <c r="GEO45" s="685"/>
      <c r="GEP45" s="685"/>
      <c r="GEQ45" s="685"/>
      <c r="GER45" s="685"/>
      <c r="GES45" s="685"/>
      <c r="GET45" s="685"/>
      <c r="GEU45" s="685"/>
      <c r="GEV45" s="685"/>
      <c r="GEW45" s="685"/>
      <c r="GEX45" s="685"/>
      <c r="GEY45" s="685"/>
      <c r="GEZ45" s="685"/>
      <c r="GFA45" s="685"/>
      <c r="GFB45" s="685"/>
      <c r="GFC45" s="685"/>
      <c r="GFD45" s="685"/>
      <c r="GFE45" s="685"/>
      <c r="GFF45" s="685"/>
      <c r="GFG45" s="685"/>
      <c r="GFH45" s="685"/>
      <c r="GFI45" s="685"/>
      <c r="GFJ45" s="685"/>
      <c r="GFK45" s="685"/>
      <c r="GFL45" s="685"/>
      <c r="GFM45" s="685"/>
      <c r="GFN45" s="685"/>
      <c r="GFO45" s="685"/>
      <c r="GFP45" s="685"/>
      <c r="GFQ45" s="685"/>
      <c r="GFR45" s="685"/>
      <c r="GFS45" s="685"/>
      <c r="GFT45" s="685"/>
      <c r="GFU45" s="685"/>
      <c r="GFV45" s="685"/>
      <c r="GFW45" s="685"/>
      <c r="GFX45" s="685"/>
      <c r="GFY45" s="685"/>
      <c r="GFZ45" s="685"/>
      <c r="GGA45" s="685"/>
      <c r="GGB45" s="685"/>
      <c r="GGC45" s="685"/>
      <c r="GGD45" s="685"/>
      <c r="GGE45" s="685"/>
      <c r="GGF45" s="685"/>
      <c r="GGG45" s="685"/>
      <c r="GGH45" s="685"/>
      <c r="GGI45" s="685"/>
      <c r="GGJ45" s="685"/>
      <c r="GGK45" s="685"/>
      <c r="GGL45" s="685"/>
      <c r="GGM45" s="685"/>
      <c r="GGN45" s="685"/>
      <c r="GGO45" s="685"/>
      <c r="GGP45" s="685"/>
      <c r="GGQ45" s="685"/>
      <c r="GGR45" s="685"/>
      <c r="GGS45" s="685"/>
      <c r="GGT45" s="685"/>
      <c r="GGU45" s="685"/>
      <c r="GGV45" s="685"/>
      <c r="GGW45" s="685"/>
      <c r="GGX45" s="685"/>
      <c r="GGY45" s="685"/>
      <c r="GGZ45" s="685"/>
      <c r="GHA45" s="685"/>
      <c r="GHB45" s="685"/>
      <c r="GHC45" s="685"/>
      <c r="GHD45" s="685"/>
      <c r="GHE45" s="685"/>
      <c r="GHF45" s="685"/>
      <c r="GHG45" s="685"/>
      <c r="GHH45" s="685"/>
      <c r="GHI45" s="685"/>
      <c r="GHJ45" s="685"/>
      <c r="GHK45" s="685"/>
      <c r="GHL45" s="685"/>
      <c r="GHM45" s="685"/>
      <c r="GHN45" s="685"/>
      <c r="GHO45" s="685"/>
      <c r="GHP45" s="685"/>
      <c r="GHQ45" s="685"/>
      <c r="GHR45" s="685"/>
      <c r="GHS45" s="685"/>
      <c r="GHT45" s="685"/>
      <c r="GHU45" s="685"/>
      <c r="GHV45" s="685"/>
      <c r="GHW45" s="685"/>
      <c r="GHX45" s="685"/>
      <c r="GHY45" s="685"/>
      <c r="GHZ45" s="685"/>
      <c r="GIA45" s="685"/>
      <c r="GIB45" s="685"/>
      <c r="GIC45" s="685"/>
      <c r="GID45" s="685"/>
      <c r="GIE45" s="685"/>
      <c r="GIF45" s="685"/>
      <c r="GIG45" s="685"/>
      <c r="GIH45" s="685"/>
      <c r="GII45" s="685"/>
      <c r="GIJ45" s="685"/>
      <c r="GIK45" s="685"/>
      <c r="GIL45" s="685"/>
      <c r="GIM45" s="685"/>
      <c r="GIN45" s="685"/>
      <c r="GIO45" s="685"/>
      <c r="GIP45" s="685"/>
      <c r="GIQ45" s="685"/>
      <c r="GIR45" s="685"/>
      <c r="GIS45" s="685"/>
      <c r="GIT45" s="685"/>
      <c r="GIU45" s="685"/>
      <c r="GIV45" s="685"/>
      <c r="GIW45" s="685"/>
      <c r="GIX45" s="685"/>
      <c r="GIY45" s="685"/>
      <c r="GIZ45" s="685"/>
      <c r="GJA45" s="685"/>
      <c r="GJB45" s="685"/>
      <c r="GJC45" s="685"/>
      <c r="GJD45" s="685"/>
      <c r="GJE45" s="685"/>
      <c r="GJF45" s="685"/>
      <c r="GJG45" s="685"/>
      <c r="GJH45" s="685"/>
      <c r="GJI45" s="685"/>
      <c r="GJJ45" s="685"/>
      <c r="GJK45" s="685"/>
      <c r="GJL45" s="685"/>
      <c r="GJM45" s="685"/>
      <c r="GJN45" s="685"/>
      <c r="GJO45" s="685"/>
      <c r="GJP45" s="685"/>
      <c r="GJQ45" s="685"/>
      <c r="GJR45" s="685"/>
      <c r="GJS45" s="685"/>
      <c r="GJT45" s="685"/>
      <c r="GJU45" s="685"/>
      <c r="GJV45" s="685"/>
      <c r="GJW45" s="685"/>
      <c r="GJX45" s="685"/>
      <c r="GJY45" s="685"/>
      <c r="GJZ45" s="685"/>
      <c r="GKA45" s="685"/>
      <c r="GKB45" s="685"/>
      <c r="GKC45" s="685"/>
      <c r="GKD45" s="685"/>
      <c r="GKE45" s="685"/>
      <c r="GKF45" s="685"/>
      <c r="GKG45" s="685"/>
      <c r="GKH45" s="685"/>
      <c r="GKI45" s="685"/>
      <c r="GKJ45" s="685"/>
      <c r="GKK45" s="685"/>
      <c r="GKL45" s="685"/>
      <c r="GKM45" s="685"/>
      <c r="GKN45" s="685"/>
      <c r="GKO45" s="685"/>
      <c r="GKP45" s="685"/>
      <c r="GKQ45" s="685"/>
      <c r="GKR45" s="685"/>
      <c r="GKS45" s="685"/>
      <c r="GKT45" s="685"/>
      <c r="GKU45" s="685"/>
      <c r="GKV45" s="685"/>
      <c r="GKW45" s="685"/>
      <c r="GKX45" s="685"/>
      <c r="GKY45" s="685"/>
      <c r="GKZ45" s="685"/>
      <c r="GLA45" s="685"/>
      <c r="GLB45" s="685"/>
      <c r="GLC45" s="685"/>
      <c r="GLD45" s="685"/>
      <c r="GLE45" s="685"/>
      <c r="GLF45" s="685"/>
      <c r="GLG45" s="685"/>
      <c r="GLH45" s="685"/>
      <c r="GLI45" s="685"/>
      <c r="GLJ45" s="685"/>
      <c r="GLK45" s="685"/>
      <c r="GLL45" s="685"/>
      <c r="GLM45" s="685"/>
      <c r="GLN45" s="685"/>
      <c r="GLO45" s="685"/>
      <c r="GLP45" s="685"/>
      <c r="GLQ45" s="685"/>
      <c r="GLR45" s="685"/>
      <c r="GLS45" s="685"/>
      <c r="GLT45" s="685"/>
      <c r="GLU45" s="685"/>
      <c r="GLV45" s="685"/>
      <c r="GLW45" s="685"/>
      <c r="GLX45" s="685"/>
      <c r="GLY45" s="685"/>
      <c r="GLZ45" s="685"/>
      <c r="GMA45" s="685"/>
      <c r="GMB45" s="685"/>
      <c r="GMC45" s="685"/>
      <c r="GMD45" s="685"/>
      <c r="GME45" s="685"/>
      <c r="GMF45" s="685"/>
      <c r="GMG45" s="685"/>
      <c r="GMH45" s="685"/>
      <c r="GMI45" s="685"/>
      <c r="GMJ45" s="685"/>
      <c r="GMK45" s="685"/>
      <c r="GML45" s="685"/>
      <c r="GMM45" s="685"/>
      <c r="GMN45" s="685"/>
      <c r="GMO45" s="685"/>
      <c r="GMP45" s="685"/>
      <c r="GMQ45" s="685"/>
      <c r="GMR45" s="685"/>
      <c r="GMS45" s="685"/>
      <c r="GMT45" s="685"/>
      <c r="GMU45" s="685"/>
      <c r="GMV45" s="685"/>
      <c r="GMW45" s="685"/>
      <c r="GMX45" s="685"/>
      <c r="GMY45" s="685"/>
      <c r="GMZ45" s="685"/>
      <c r="GNA45" s="685"/>
      <c r="GNB45" s="685"/>
      <c r="GNC45" s="685"/>
      <c r="GND45" s="685"/>
      <c r="GNE45" s="685"/>
      <c r="GNF45" s="685"/>
      <c r="GNG45" s="685"/>
      <c r="GNH45" s="685"/>
      <c r="GNI45" s="685"/>
      <c r="GNJ45" s="685"/>
      <c r="GNK45" s="685"/>
      <c r="GNL45" s="685"/>
      <c r="GNM45" s="685"/>
      <c r="GNN45" s="685"/>
      <c r="GNO45" s="685"/>
      <c r="GNP45" s="685"/>
      <c r="GNQ45" s="685"/>
      <c r="GNR45" s="685"/>
      <c r="GNS45" s="685"/>
      <c r="GNT45" s="685"/>
      <c r="GNU45" s="685"/>
      <c r="GNV45" s="685"/>
      <c r="GNW45" s="685"/>
      <c r="GNX45" s="685"/>
      <c r="GNY45" s="685"/>
      <c r="GNZ45" s="685"/>
      <c r="GOA45" s="685"/>
      <c r="GOB45" s="685"/>
      <c r="GOC45" s="685"/>
      <c r="GOD45" s="685"/>
      <c r="GOE45" s="685"/>
      <c r="GOF45" s="685"/>
      <c r="GOG45" s="685"/>
      <c r="GOH45" s="685"/>
      <c r="GOI45" s="685"/>
      <c r="GOJ45" s="685"/>
      <c r="GOK45" s="685"/>
      <c r="GOL45" s="685"/>
      <c r="GOM45" s="685"/>
      <c r="GON45" s="685"/>
      <c r="GOO45" s="685"/>
      <c r="GOP45" s="685"/>
      <c r="GOQ45" s="685"/>
      <c r="GOR45" s="685"/>
      <c r="GOS45" s="685"/>
      <c r="GOT45" s="685"/>
      <c r="GOU45" s="685"/>
      <c r="GOV45" s="685"/>
      <c r="GOW45" s="685"/>
      <c r="GOX45" s="685"/>
      <c r="GOY45" s="685"/>
      <c r="GOZ45" s="685"/>
      <c r="GPA45" s="685"/>
      <c r="GPB45" s="685"/>
      <c r="GPC45" s="685"/>
      <c r="GPD45" s="685"/>
      <c r="GPE45" s="685"/>
      <c r="GPF45" s="685"/>
      <c r="GPG45" s="685"/>
      <c r="GPH45" s="685"/>
      <c r="GPI45" s="685"/>
      <c r="GPJ45" s="685"/>
      <c r="GPK45" s="685"/>
      <c r="GPL45" s="685"/>
      <c r="GPM45" s="685"/>
      <c r="GPN45" s="685"/>
      <c r="GPO45" s="685"/>
      <c r="GPP45" s="685"/>
      <c r="GPQ45" s="685"/>
      <c r="GPR45" s="685"/>
      <c r="GPS45" s="685"/>
      <c r="GPT45" s="685"/>
      <c r="GPU45" s="685"/>
      <c r="GPV45" s="685"/>
      <c r="GPW45" s="685"/>
      <c r="GPX45" s="685"/>
      <c r="GPY45" s="685"/>
      <c r="GPZ45" s="685"/>
      <c r="GQA45" s="685"/>
      <c r="GQB45" s="685"/>
      <c r="GQC45" s="685"/>
      <c r="GQD45" s="685"/>
      <c r="GQE45" s="685"/>
      <c r="GQF45" s="685"/>
      <c r="GQG45" s="685"/>
      <c r="GQH45" s="685"/>
      <c r="GQI45" s="685"/>
      <c r="GQJ45" s="685"/>
      <c r="GQK45" s="685"/>
      <c r="GQL45" s="685"/>
      <c r="GQM45" s="685"/>
      <c r="GQN45" s="685"/>
      <c r="GQO45" s="685"/>
      <c r="GQP45" s="685"/>
      <c r="GQQ45" s="685"/>
      <c r="GQR45" s="685"/>
      <c r="GQS45" s="685"/>
      <c r="GQT45" s="685"/>
      <c r="GQU45" s="685"/>
      <c r="GQV45" s="685"/>
      <c r="GQW45" s="685"/>
      <c r="GQX45" s="685"/>
      <c r="GQY45" s="685"/>
      <c r="GQZ45" s="685"/>
      <c r="GRA45" s="685"/>
      <c r="GRB45" s="685"/>
      <c r="GRC45" s="685"/>
      <c r="GRD45" s="685"/>
      <c r="GRE45" s="685"/>
      <c r="GRF45" s="685"/>
      <c r="GRG45" s="685"/>
      <c r="GRH45" s="685"/>
      <c r="GRI45" s="685"/>
      <c r="GRJ45" s="685"/>
      <c r="GRK45" s="685"/>
      <c r="GRL45" s="685"/>
      <c r="GRM45" s="685"/>
      <c r="GRN45" s="685"/>
      <c r="GRO45" s="685"/>
      <c r="GRP45" s="685"/>
      <c r="GRQ45" s="685"/>
      <c r="GRR45" s="685"/>
      <c r="GRS45" s="685"/>
      <c r="GRT45" s="685"/>
      <c r="GRU45" s="685"/>
      <c r="GRV45" s="685"/>
      <c r="GRW45" s="685"/>
      <c r="GRX45" s="685"/>
      <c r="GRY45" s="685"/>
      <c r="GRZ45" s="685"/>
      <c r="GSA45" s="685"/>
      <c r="GSB45" s="685"/>
      <c r="GSC45" s="685"/>
      <c r="GSD45" s="685"/>
      <c r="GSE45" s="685"/>
      <c r="GSF45" s="685"/>
      <c r="GSG45" s="685"/>
      <c r="GSH45" s="685"/>
      <c r="GSI45" s="685"/>
      <c r="GSJ45" s="685"/>
      <c r="GSK45" s="685"/>
      <c r="GSL45" s="685"/>
      <c r="GSM45" s="685"/>
      <c r="GSN45" s="685"/>
      <c r="GSO45" s="685"/>
      <c r="GSP45" s="685"/>
      <c r="GSQ45" s="685"/>
      <c r="GSR45" s="685"/>
      <c r="GSS45" s="685"/>
      <c r="GST45" s="685"/>
      <c r="GSU45" s="685"/>
      <c r="GSV45" s="685"/>
      <c r="GSW45" s="685"/>
      <c r="GSX45" s="685"/>
      <c r="GSY45" s="685"/>
      <c r="GSZ45" s="685"/>
      <c r="GTA45" s="685"/>
      <c r="GTB45" s="685"/>
      <c r="GTC45" s="685"/>
      <c r="GTD45" s="685"/>
      <c r="GTE45" s="685"/>
      <c r="GTF45" s="685"/>
      <c r="GTG45" s="685"/>
      <c r="GTH45" s="685"/>
      <c r="GTI45" s="685"/>
      <c r="GTJ45" s="685"/>
      <c r="GTK45" s="685"/>
      <c r="GTL45" s="685"/>
      <c r="GTM45" s="685"/>
      <c r="GTN45" s="685"/>
      <c r="GTO45" s="685"/>
      <c r="GTP45" s="685"/>
      <c r="GTQ45" s="685"/>
      <c r="GTR45" s="685"/>
      <c r="GTS45" s="685"/>
      <c r="GTT45" s="685"/>
      <c r="GTU45" s="685"/>
      <c r="GTV45" s="685"/>
      <c r="GTW45" s="685"/>
      <c r="GTX45" s="685"/>
      <c r="GTY45" s="685"/>
      <c r="GTZ45" s="685"/>
      <c r="GUA45" s="685"/>
      <c r="GUB45" s="685"/>
      <c r="GUC45" s="685"/>
      <c r="GUD45" s="685"/>
      <c r="GUE45" s="685"/>
      <c r="GUF45" s="685"/>
      <c r="GUG45" s="685"/>
      <c r="GUH45" s="685"/>
      <c r="GUI45" s="685"/>
      <c r="GUJ45" s="685"/>
      <c r="GUK45" s="685"/>
      <c r="GUL45" s="685"/>
      <c r="GUM45" s="685"/>
      <c r="GUN45" s="685"/>
      <c r="GUO45" s="685"/>
      <c r="GUP45" s="685"/>
      <c r="GUQ45" s="685"/>
      <c r="GUR45" s="685"/>
      <c r="GUS45" s="685"/>
      <c r="GUT45" s="685"/>
      <c r="GUU45" s="685"/>
      <c r="GUV45" s="685"/>
      <c r="GUW45" s="685"/>
      <c r="GUX45" s="685"/>
      <c r="GUY45" s="685"/>
      <c r="GUZ45" s="685"/>
      <c r="GVA45" s="685"/>
      <c r="GVB45" s="685"/>
      <c r="GVC45" s="685"/>
      <c r="GVD45" s="685"/>
      <c r="GVE45" s="685"/>
      <c r="GVF45" s="685"/>
      <c r="GVG45" s="685"/>
      <c r="GVH45" s="685"/>
      <c r="GVI45" s="685"/>
      <c r="GVJ45" s="685"/>
      <c r="GVK45" s="685"/>
      <c r="GVL45" s="685"/>
      <c r="GVM45" s="685"/>
      <c r="GVN45" s="685"/>
      <c r="GVO45" s="685"/>
      <c r="GVP45" s="685"/>
      <c r="GVQ45" s="685"/>
      <c r="GVR45" s="685"/>
      <c r="GVS45" s="685"/>
      <c r="GVT45" s="685"/>
      <c r="GVU45" s="685"/>
      <c r="GVV45" s="685"/>
      <c r="GVW45" s="685"/>
      <c r="GVX45" s="685"/>
      <c r="GVY45" s="685"/>
      <c r="GVZ45" s="685"/>
      <c r="GWA45" s="685"/>
      <c r="GWB45" s="685"/>
      <c r="GWC45" s="685"/>
      <c r="GWD45" s="685"/>
      <c r="GWE45" s="685"/>
      <c r="GWF45" s="685"/>
      <c r="GWG45" s="685"/>
      <c r="GWH45" s="685"/>
      <c r="GWI45" s="685"/>
      <c r="GWJ45" s="685"/>
      <c r="GWK45" s="685"/>
      <c r="GWL45" s="685"/>
      <c r="GWM45" s="685"/>
      <c r="GWN45" s="685"/>
      <c r="GWO45" s="685"/>
      <c r="GWP45" s="685"/>
      <c r="GWQ45" s="685"/>
      <c r="GWR45" s="685"/>
      <c r="GWS45" s="685"/>
      <c r="GWT45" s="685"/>
      <c r="GWU45" s="685"/>
      <c r="GWV45" s="685"/>
      <c r="GWW45" s="685"/>
      <c r="GWX45" s="685"/>
      <c r="GWY45" s="685"/>
      <c r="GWZ45" s="685"/>
      <c r="GXA45" s="685"/>
      <c r="GXB45" s="685"/>
      <c r="GXC45" s="685"/>
      <c r="GXD45" s="685"/>
      <c r="GXE45" s="685"/>
      <c r="GXF45" s="685"/>
      <c r="GXG45" s="685"/>
      <c r="GXH45" s="685"/>
      <c r="GXI45" s="685"/>
      <c r="GXJ45" s="685"/>
      <c r="GXK45" s="685"/>
      <c r="GXL45" s="685"/>
      <c r="GXM45" s="685"/>
      <c r="GXN45" s="685"/>
      <c r="GXO45" s="685"/>
      <c r="GXP45" s="685"/>
      <c r="GXQ45" s="685"/>
      <c r="GXR45" s="685"/>
      <c r="GXS45" s="685"/>
      <c r="GXT45" s="685"/>
      <c r="GXU45" s="685"/>
      <c r="GXV45" s="685"/>
      <c r="GXW45" s="685"/>
      <c r="GXX45" s="685"/>
      <c r="GXY45" s="685"/>
      <c r="GXZ45" s="685"/>
      <c r="GYA45" s="685"/>
      <c r="GYB45" s="685"/>
      <c r="GYC45" s="685"/>
      <c r="GYD45" s="685"/>
      <c r="GYE45" s="685"/>
      <c r="GYF45" s="685"/>
      <c r="GYG45" s="685"/>
      <c r="GYH45" s="685"/>
      <c r="GYI45" s="685"/>
      <c r="GYJ45" s="685"/>
      <c r="GYK45" s="685"/>
      <c r="GYL45" s="685"/>
      <c r="GYM45" s="685"/>
      <c r="GYN45" s="685"/>
      <c r="GYO45" s="685"/>
      <c r="GYP45" s="685"/>
      <c r="GYQ45" s="685"/>
      <c r="GYR45" s="685"/>
      <c r="GYS45" s="685"/>
      <c r="GYT45" s="685"/>
      <c r="GYU45" s="685"/>
      <c r="GYV45" s="685"/>
      <c r="GYW45" s="685"/>
      <c r="GYX45" s="685"/>
      <c r="GYY45" s="685"/>
      <c r="GYZ45" s="685"/>
      <c r="GZA45" s="685"/>
      <c r="GZB45" s="685"/>
      <c r="GZC45" s="685"/>
      <c r="GZD45" s="685"/>
      <c r="GZE45" s="685"/>
      <c r="GZF45" s="685"/>
      <c r="GZG45" s="685"/>
      <c r="GZH45" s="685"/>
      <c r="GZI45" s="685"/>
      <c r="GZJ45" s="685"/>
      <c r="GZK45" s="685"/>
      <c r="GZL45" s="685"/>
      <c r="GZM45" s="685"/>
      <c r="GZN45" s="685"/>
      <c r="GZO45" s="685"/>
      <c r="GZP45" s="685"/>
      <c r="GZQ45" s="685"/>
      <c r="GZR45" s="685"/>
      <c r="GZS45" s="685"/>
      <c r="GZT45" s="685"/>
      <c r="GZU45" s="685"/>
      <c r="GZV45" s="685"/>
      <c r="GZW45" s="685"/>
      <c r="GZX45" s="685"/>
      <c r="GZY45" s="685"/>
      <c r="GZZ45" s="685"/>
      <c r="HAA45" s="685"/>
      <c r="HAB45" s="685"/>
      <c r="HAC45" s="685"/>
      <c r="HAD45" s="685"/>
      <c r="HAE45" s="685"/>
      <c r="HAF45" s="685"/>
      <c r="HAG45" s="685"/>
      <c r="HAH45" s="685"/>
      <c r="HAI45" s="685"/>
      <c r="HAJ45" s="685"/>
      <c r="HAK45" s="685"/>
      <c r="HAL45" s="685"/>
      <c r="HAM45" s="685"/>
      <c r="HAN45" s="685"/>
      <c r="HAO45" s="685"/>
      <c r="HAP45" s="685"/>
      <c r="HAQ45" s="685"/>
      <c r="HAR45" s="685"/>
      <c r="HAS45" s="685"/>
      <c r="HAT45" s="685"/>
      <c r="HAU45" s="685"/>
      <c r="HAV45" s="685"/>
      <c r="HAW45" s="685"/>
      <c r="HAX45" s="685"/>
      <c r="HAY45" s="685"/>
      <c r="HAZ45" s="685"/>
      <c r="HBA45" s="685"/>
      <c r="HBB45" s="685"/>
      <c r="HBC45" s="685"/>
      <c r="HBD45" s="685"/>
      <c r="HBE45" s="685"/>
      <c r="HBF45" s="685"/>
      <c r="HBG45" s="685"/>
      <c r="HBH45" s="685"/>
      <c r="HBI45" s="685"/>
      <c r="HBJ45" s="685"/>
      <c r="HBK45" s="685"/>
      <c r="HBL45" s="685"/>
      <c r="HBM45" s="685"/>
      <c r="HBN45" s="685"/>
      <c r="HBO45" s="685"/>
      <c r="HBP45" s="685"/>
      <c r="HBQ45" s="685"/>
      <c r="HBR45" s="685"/>
      <c r="HBS45" s="685"/>
      <c r="HBT45" s="685"/>
      <c r="HBU45" s="685"/>
      <c r="HBV45" s="685"/>
      <c r="HBW45" s="685"/>
      <c r="HBX45" s="685"/>
      <c r="HBY45" s="685"/>
      <c r="HBZ45" s="685"/>
      <c r="HCA45" s="685"/>
      <c r="HCB45" s="685"/>
      <c r="HCC45" s="685"/>
      <c r="HCD45" s="685"/>
      <c r="HCE45" s="685"/>
      <c r="HCF45" s="685"/>
      <c r="HCG45" s="685"/>
      <c r="HCH45" s="685"/>
      <c r="HCI45" s="685"/>
      <c r="HCJ45" s="685"/>
      <c r="HCK45" s="685"/>
      <c r="HCL45" s="685"/>
      <c r="HCM45" s="685"/>
      <c r="HCN45" s="685"/>
      <c r="HCO45" s="685"/>
      <c r="HCP45" s="685"/>
      <c r="HCQ45" s="685"/>
      <c r="HCR45" s="685"/>
      <c r="HCS45" s="685"/>
      <c r="HCT45" s="685"/>
      <c r="HCU45" s="685"/>
      <c r="HCV45" s="685"/>
      <c r="HCW45" s="685"/>
      <c r="HCX45" s="685"/>
      <c r="HCY45" s="685"/>
      <c r="HCZ45" s="685"/>
      <c r="HDA45" s="685"/>
      <c r="HDB45" s="685"/>
      <c r="HDC45" s="685"/>
      <c r="HDD45" s="685"/>
      <c r="HDE45" s="685"/>
      <c r="HDF45" s="685"/>
      <c r="HDG45" s="685"/>
      <c r="HDH45" s="685"/>
      <c r="HDI45" s="685"/>
      <c r="HDJ45" s="685"/>
      <c r="HDK45" s="685"/>
      <c r="HDL45" s="685"/>
      <c r="HDM45" s="685"/>
      <c r="HDN45" s="685"/>
      <c r="HDO45" s="685"/>
      <c r="HDP45" s="685"/>
      <c r="HDQ45" s="685"/>
      <c r="HDR45" s="685"/>
      <c r="HDS45" s="685"/>
      <c r="HDT45" s="685"/>
      <c r="HDU45" s="685"/>
      <c r="HDV45" s="685"/>
      <c r="HDW45" s="685"/>
      <c r="HDX45" s="685"/>
      <c r="HDY45" s="685"/>
      <c r="HDZ45" s="685"/>
      <c r="HEA45" s="685"/>
      <c r="HEB45" s="685"/>
      <c r="HEC45" s="685"/>
      <c r="HED45" s="685"/>
      <c r="HEE45" s="685"/>
      <c r="HEF45" s="685"/>
      <c r="HEG45" s="685"/>
      <c r="HEH45" s="685"/>
      <c r="HEI45" s="685"/>
      <c r="HEJ45" s="685"/>
      <c r="HEK45" s="685"/>
      <c r="HEL45" s="685"/>
      <c r="HEM45" s="685"/>
      <c r="HEN45" s="685"/>
      <c r="HEO45" s="685"/>
      <c r="HEP45" s="685"/>
      <c r="HEQ45" s="685"/>
      <c r="HER45" s="685"/>
      <c r="HES45" s="685"/>
      <c r="HET45" s="685"/>
      <c r="HEU45" s="685"/>
      <c r="HEV45" s="685"/>
      <c r="HEW45" s="685"/>
      <c r="HEX45" s="685"/>
      <c r="HEY45" s="685"/>
      <c r="HEZ45" s="685"/>
      <c r="HFA45" s="685"/>
      <c r="HFB45" s="685"/>
      <c r="HFC45" s="685"/>
      <c r="HFD45" s="685"/>
      <c r="HFE45" s="685"/>
      <c r="HFF45" s="685"/>
      <c r="HFG45" s="685"/>
      <c r="HFH45" s="685"/>
      <c r="HFI45" s="685"/>
      <c r="HFJ45" s="685"/>
      <c r="HFK45" s="685"/>
      <c r="HFL45" s="685"/>
      <c r="HFM45" s="685"/>
      <c r="HFN45" s="685"/>
      <c r="HFO45" s="685"/>
      <c r="HFP45" s="685"/>
      <c r="HFQ45" s="685"/>
      <c r="HFR45" s="685"/>
      <c r="HFS45" s="685"/>
      <c r="HFT45" s="685"/>
      <c r="HFU45" s="685"/>
      <c r="HFV45" s="685"/>
      <c r="HFW45" s="685"/>
      <c r="HFX45" s="685"/>
      <c r="HFY45" s="685"/>
      <c r="HFZ45" s="685"/>
      <c r="HGA45" s="685"/>
      <c r="HGB45" s="685"/>
      <c r="HGC45" s="685"/>
      <c r="HGD45" s="685"/>
      <c r="HGE45" s="685"/>
      <c r="HGF45" s="685"/>
      <c r="HGG45" s="685"/>
      <c r="HGH45" s="685"/>
      <c r="HGI45" s="685"/>
      <c r="HGJ45" s="685"/>
      <c r="HGK45" s="685"/>
      <c r="HGL45" s="685"/>
      <c r="HGM45" s="685"/>
      <c r="HGN45" s="685"/>
      <c r="HGO45" s="685"/>
      <c r="HGP45" s="685"/>
      <c r="HGQ45" s="685"/>
      <c r="HGR45" s="685"/>
      <c r="HGS45" s="685"/>
      <c r="HGT45" s="685"/>
      <c r="HGU45" s="685"/>
      <c r="HGV45" s="685"/>
      <c r="HGW45" s="685"/>
      <c r="HGX45" s="685"/>
      <c r="HGY45" s="685"/>
      <c r="HGZ45" s="685"/>
      <c r="HHA45" s="685"/>
      <c r="HHB45" s="685"/>
      <c r="HHC45" s="685"/>
      <c r="HHD45" s="685"/>
      <c r="HHE45" s="685"/>
      <c r="HHF45" s="685"/>
      <c r="HHG45" s="685"/>
      <c r="HHH45" s="685"/>
      <c r="HHI45" s="685"/>
      <c r="HHJ45" s="685"/>
      <c r="HHK45" s="685"/>
      <c r="HHL45" s="685"/>
      <c r="HHM45" s="685"/>
      <c r="HHN45" s="685"/>
      <c r="HHO45" s="685"/>
      <c r="HHP45" s="685"/>
      <c r="HHQ45" s="685"/>
      <c r="HHR45" s="685"/>
      <c r="HHS45" s="685"/>
      <c r="HHT45" s="685"/>
      <c r="HHU45" s="685"/>
      <c r="HHV45" s="685"/>
      <c r="HHW45" s="685"/>
      <c r="HHX45" s="685"/>
      <c r="HHY45" s="685"/>
      <c r="HHZ45" s="685"/>
      <c r="HIA45" s="685"/>
      <c r="HIB45" s="685"/>
      <c r="HIC45" s="685"/>
      <c r="HID45" s="685"/>
      <c r="HIE45" s="685"/>
      <c r="HIF45" s="685"/>
      <c r="HIG45" s="685"/>
      <c r="HIH45" s="685"/>
      <c r="HII45" s="685"/>
      <c r="HIJ45" s="685"/>
      <c r="HIK45" s="685"/>
      <c r="HIL45" s="685"/>
      <c r="HIM45" s="685"/>
      <c r="HIN45" s="685"/>
      <c r="HIO45" s="685"/>
      <c r="HIP45" s="685"/>
      <c r="HIQ45" s="685"/>
      <c r="HIR45" s="685"/>
      <c r="HIS45" s="685"/>
      <c r="HIT45" s="685"/>
      <c r="HIU45" s="685"/>
      <c r="HIV45" s="685"/>
      <c r="HIW45" s="685"/>
      <c r="HIX45" s="685"/>
      <c r="HIY45" s="685"/>
      <c r="HIZ45" s="685"/>
      <c r="HJA45" s="685"/>
      <c r="HJB45" s="685"/>
      <c r="HJC45" s="685"/>
      <c r="HJD45" s="685"/>
      <c r="HJE45" s="685"/>
      <c r="HJF45" s="685"/>
      <c r="HJG45" s="685"/>
      <c r="HJH45" s="685"/>
      <c r="HJI45" s="685"/>
      <c r="HJJ45" s="685"/>
      <c r="HJK45" s="685"/>
      <c r="HJL45" s="685"/>
      <c r="HJM45" s="685"/>
      <c r="HJN45" s="685"/>
      <c r="HJO45" s="685"/>
      <c r="HJP45" s="685"/>
      <c r="HJQ45" s="685"/>
      <c r="HJR45" s="685"/>
      <c r="HJS45" s="685"/>
      <c r="HJT45" s="685"/>
      <c r="HJU45" s="685"/>
      <c r="HJV45" s="685"/>
      <c r="HJW45" s="685"/>
      <c r="HJX45" s="685"/>
      <c r="HJY45" s="685"/>
      <c r="HJZ45" s="685"/>
      <c r="HKA45" s="685"/>
      <c r="HKB45" s="685"/>
      <c r="HKC45" s="685"/>
      <c r="HKD45" s="685"/>
      <c r="HKE45" s="685"/>
      <c r="HKF45" s="685"/>
      <c r="HKG45" s="685"/>
      <c r="HKH45" s="685"/>
      <c r="HKI45" s="685"/>
      <c r="HKJ45" s="685"/>
      <c r="HKK45" s="685"/>
      <c r="HKL45" s="685"/>
      <c r="HKM45" s="685"/>
      <c r="HKN45" s="685"/>
      <c r="HKO45" s="685"/>
      <c r="HKP45" s="685"/>
      <c r="HKQ45" s="685"/>
      <c r="HKR45" s="685"/>
      <c r="HKS45" s="685"/>
      <c r="HKT45" s="685"/>
      <c r="HKU45" s="685"/>
      <c r="HKV45" s="685"/>
      <c r="HKW45" s="685"/>
      <c r="HKX45" s="685"/>
      <c r="HKY45" s="685"/>
      <c r="HKZ45" s="685"/>
      <c r="HLA45" s="685"/>
      <c r="HLB45" s="685"/>
      <c r="HLC45" s="685"/>
      <c r="HLD45" s="685"/>
      <c r="HLE45" s="685"/>
      <c r="HLF45" s="685"/>
      <c r="HLG45" s="685"/>
      <c r="HLH45" s="685"/>
      <c r="HLI45" s="685"/>
      <c r="HLJ45" s="685"/>
      <c r="HLK45" s="685"/>
      <c r="HLL45" s="685"/>
      <c r="HLM45" s="685"/>
      <c r="HLN45" s="685"/>
      <c r="HLO45" s="685"/>
      <c r="HLP45" s="685"/>
      <c r="HLQ45" s="685"/>
      <c r="HLR45" s="685"/>
      <c r="HLS45" s="685"/>
      <c r="HLT45" s="685"/>
      <c r="HLU45" s="685"/>
      <c r="HLV45" s="685"/>
      <c r="HLW45" s="685"/>
      <c r="HLX45" s="685"/>
      <c r="HLY45" s="685"/>
      <c r="HLZ45" s="685"/>
      <c r="HMA45" s="685"/>
      <c r="HMB45" s="685"/>
      <c r="HMC45" s="685"/>
      <c r="HMD45" s="685"/>
      <c r="HME45" s="685"/>
      <c r="HMF45" s="685"/>
      <c r="HMG45" s="685"/>
      <c r="HMH45" s="685"/>
      <c r="HMI45" s="685"/>
      <c r="HMJ45" s="685"/>
      <c r="HMK45" s="685"/>
      <c r="HML45" s="685"/>
      <c r="HMM45" s="685"/>
      <c r="HMN45" s="685"/>
      <c r="HMO45" s="685"/>
      <c r="HMP45" s="685"/>
      <c r="HMQ45" s="685"/>
      <c r="HMR45" s="685"/>
      <c r="HMS45" s="685"/>
      <c r="HMT45" s="685"/>
      <c r="HMU45" s="685"/>
      <c r="HMV45" s="685"/>
      <c r="HMW45" s="685"/>
      <c r="HMX45" s="685"/>
      <c r="HMY45" s="685"/>
      <c r="HMZ45" s="685"/>
      <c r="HNA45" s="685"/>
      <c r="HNB45" s="685"/>
      <c r="HNC45" s="685"/>
      <c r="HND45" s="685"/>
      <c r="HNE45" s="685"/>
      <c r="HNF45" s="685"/>
      <c r="HNG45" s="685"/>
      <c r="HNH45" s="685"/>
      <c r="HNI45" s="685"/>
      <c r="HNJ45" s="685"/>
      <c r="HNK45" s="685"/>
      <c r="HNL45" s="685"/>
      <c r="HNM45" s="685"/>
      <c r="HNN45" s="685"/>
      <c r="HNO45" s="685"/>
      <c r="HNP45" s="685"/>
      <c r="HNQ45" s="685"/>
      <c r="HNR45" s="685"/>
      <c r="HNS45" s="685"/>
      <c r="HNT45" s="685"/>
      <c r="HNU45" s="685"/>
      <c r="HNV45" s="685"/>
      <c r="HNW45" s="685"/>
      <c r="HNX45" s="685"/>
      <c r="HNY45" s="685"/>
      <c r="HNZ45" s="685"/>
      <c r="HOA45" s="685"/>
      <c r="HOB45" s="685"/>
      <c r="HOC45" s="685"/>
      <c r="HOD45" s="685"/>
      <c r="HOE45" s="685"/>
      <c r="HOF45" s="685"/>
      <c r="HOG45" s="685"/>
      <c r="HOH45" s="685"/>
      <c r="HOI45" s="685"/>
      <c r="HOJ45" s="685"/>
      <c r="HOK45" s="685"/>
      <c r="HOL45" s="685"/>
      <c r="HOM45" s="685"/>
      <c r="HON45" s="685"/>
      <c r="HOO45" s="685"/>
      <c r="HOP45" s="685"/>
      <c r="HOQ45" s="685"/>
      <c r="HOR45" s="685"/>
      <c r="HOS45" s="685"/>
      <c r="HOT45" s="685"/>
      <c r="HOU45" s="685"/>
      <c r="HOV45" s="685"/>
      <c r="HOW45" s="685"/>
      <c r="HOX45" s="685"/>
      <c r="HOY45" s="685"/>
      <c r="HOZ45" s="685"/>
      <c r="HPA45" s="685"/>
      <c r="HPB45" s="685"/>
      <c r="HPC45" s="685"/>
      <c r="HPD45" s="685"/>
      <c r="HPE45" s="685"/>
      <c r="HPF45" s="685"/>
      <c r="HPG45" s="685"/>
      <c r="HPH45" s="685"/>
      <c r="HPI45" s="685"/>
      <c r="HPJ45" s="685"/>
      <c r="HPK45" s="685"/>
      <c r="HPL45" s="685"/>
      <c r="HPM45" s="685"/>
      <c r="HPN45" s="685"/>
      <c r="HPO45" s="685"/>
      <c r="HPP45" s="685"/>
      <c r="HPQ45" s="685"/>
      <c r="HPR45" s="685"/>
      <c r="HPS45" s="685"/>
      <c r="HPT45" s="685"/>
      <c r="HPU45" s="685"/>
      <c r="HPV45" s="685"/>
      <c r="HPW45" s="685"/>
      <c r="HPX45" s="685"/>
      <c r="HPY45" s="685"/>
      <c r="HPZ45" s="685"/>
      <c r="HQA45" s="685"/>
      <c r="HQB45" s="685"/>
      <c r="HQC45" s="685"/>
      <c r="HQD45" s="685"/>
      <c r="HQE45" s="685"/>
      <c r="HQF45" s="685"/>
      <c r="HQG45" s="685"/>
      <c r="HQH45" s="685"/>
      <c r="HQI45" s="685"/>
      <c r="HQJ45" s="685"/>
      <c r="HQK45" s="685"/>
      <c r="HQL45" s="685"/>
      <c r="HQM45" s="685"/>
      <c r="HQN45" s="685"/>
      <c r="HQO45" s="685"/>
      <c r="HQP45" s="685"/>
      <c r="HQQ45" s="685"/>
      <c r="HQR45" s="685"/>
      <c r="HQS45" s="685"/>
      <c r="HQT45" s="685"/>
      <c r="HQU45" s="685"/>
      <c r="HQV45" s="685"/>
      <c r="HQW45" s="685"/>
      <c r="HQX45" s="685"/>
      <c r="HQY45" s="685"/>
      <c r="HQZ45" s="685"/>
      <c r="HRA45" s="685"/>
      <c r="HRB45" s="685"/>
      <c r="HRC45" s="685"/>
      <c r="HRD45" s="685"/>
      <c r="HRE45" s="685"/>
      <c r="HRF45" s="685"/>
      <c r="HRG45" s="685"/>
      <c r="HRH45" s="685"/>
      <c r="HRI45" s="685"/>
      <c r="HRJ45" s="685"/>
      <c r="HRK45" s="685"/>
      <c r="HRL45" s="685"/>
      <c r="HRM45" s="685"/>
      <c r="HRN45" s="685"/>
      <c r="HRO45" s="685"/>
      <c r="HRP45" s="685"/>
      <c r="HRQ45" s="685"/>
      <c r="HRR45" s="685"/>
      <c r="HRS45" s="685"/>
      <c r="HRT45" s="685"/>
      <c r="HRU45" s="685"/>
      <c r="HRV45" s="685"/>
      <c r="HRW45" s="685"/>
      <c r="HRX45" s="685"/>
      <c r="HRY45" s="685"/>
      <c r="HRZ45" s="685"/>
      <c r="HSA45" s="685"/>
      <c r="HSB45" s="685"/>
      <c r="HSC45" s="685"/>
      <c r="HSD45" s="685"/>
      <c r="HSE45" s="685"/>
      <c r="HSF45" s="685"/>
      <c r="HSG45" s="685"/>
      <c r="HSH45" s="685"/>
      <c r="HSI45" s="685"/>
      <c r="HSJ45" s="685"/>
      <c r="HSK45" s="685"/>
      <c r="HSL45" s="685"/>
      <c r="HSM45" s="685"/>
      <c r="HSN45" s="685"/>
      <c r="HSO45" s="685"/>
      <c r="HSP45" s="685"/>
      <c r="HSQ45" s="685"/>
      <c r="HSR45" s="685"/>
      <c r="HSS45" s="685"/>
      <c r="HST45" s="685"/>
      <c r="HSU45" s="685"/>
      <c r="HSV45" s="685"/>
      <c r="HSW45" s="685"/>
      <c r="HSX45" s="685"/>
      <c r="HSY45" s="685"/>
      <c r="HSZ45" s="685"/>
      <c r="HTA45" s="685"/>
      <c r="HTB45" s="685"/>
      <c r="HTC45" s="685"/>
      <c r="HTD45" s="685"/>
      <c r="HTE45" s="685"/>
      <c r="HTF45" s="685"/>
      <c r="HTG45" s="685"/>
      <c r="HTH45" s="685"/>
      <c r="HTI45" s="685"/>
      <c r="HTJ45" s="685"/>
      <c r="HTK45" s="685"/>
      <c r="HTL45" s="685"/>
      <c r="HTM45" s="685"/>
      <c r="HTN45" s="685"/>
      <c r="HTO45" s="685"/>
      <c r="HTP45" s="685"/>
      <c r="HTQ45" s="685"/>
      <c r="HTR45" s="685"/>
      <c r="HTS45" s="685"/>
      <c r="HTT45" s="685"/>
      <c r="HTU45" s="685"/>
      <c r="HTV45" s="685"/>
      <c r="HTW45" s="685"/>
      <c r="HTX45" s="685"/>
      <c r="HTY45" s="685"/>
      <c r="HTZ45" s="685"/>
      <c r="HUA45" s="685"/>
      <c r="HUB45" s="685"/>
      <c r="HUC45" s="685"/>
      <c r="HUD45" s="685"/>
      <c r="HUE45" s="685"/>
      <c r="HUF45" s="685"/>
      <c r="HUG45" s="685"/>
      <c r="HUH45" s="685"/>
      <c r="HUI45" s="685"/>
      <c r="HUJ45" s="685"/>
      <c r="HUK45" s="685"/>
      <c r="HUL45" s="685"/>
      <c r="HUM45" s="685"/>
      <c r="HUN45" s="685"/>
      <c r="HUO45" s="685"/>
      <c r="HUP45" s="685"/>
      <c r="HUQ45" s="685"/>
      <c r="HUR45" s="685"/>
      <c r="HUS45" s="685"/>
      <c r="HUT45" s="685"/>
      <c r="HUU45" s="685"/>
      <c r="HUV45" s="685"/>
      <c r="HUW45" s="685"/>
      <c r="HUX45" s="685"/>
      <c r="HUY45" s="685"/>
      <c r="HUZ45" s="685"/>
      <c r="HVA45" s="685"/>
      <c r="HVB45" s="685"/>
      <c r="HVC45" s="685"/>
      <c r="HVD45" s="685"/>
      <c r="HVE45" s="685"/>
      <c r="HVF45" s="685"/>
      <c r="HVG45" s="685"/>
      <c r="HVH45" s="685"/>
      <c r="HVI45" s="685"/>
      <c r="HVJ45" s="685"/>
      <c r="HVK45" s="685"/>
      <c r="HVL45" s="685"/>
      <c r="HVM45" s="685"/>
      <c r="HVN45" s="685"/>
      <c r="HVO45" s="685"/>
      <c r="HVP45" s="685"/>
      <c r="HVQ45" s="685"/>
      <c r="HVR45" s="685"/>
      <c r="HVS45" s="685"/>
      <c r="HVT45" s="685"/>
      <c r="HVU45" s="685"/>
      <c r="HVV45" s="685"/>
      <c r="HVW45" s="685"/>
      <c r="HVX45" s="685"/>
      <c r="HVY45" s="685"/>
      <c r="HVZ45" s="685"/>
      <c r="HWA45" s="685"/>
      <c r="HWB45" s="685"/>
      <c r="HWC45" s="685"/>
      <c r="HWD45" s="685"/>
      <c r="HWE45" s="685"/>
      <c r="HWF45" s="685"/>
      <c r="HWG45" s="685"/>
      <c r="HWH45" s="685"/>
      <c r="HWI45" s="685"/>
      <c r="HWJ45" s="685"/>
      <c r="HWK45" s="685"/>
      <c r="HWL45" s="685"/>
      <c r="HWM45" s="685"/>
      <c r="HWN45" s="685"/>
      <c r="HWO45" s="685"/>
      <c r="HWP45" s="685"/>
      <c r="HWQ45" s="685"/>
      <c r="HWR45" s="685"/>
      <c r="HWS45" s="685"/>
      <c r="HWT45" s="685"/>
      <c r="HWU45" s="685"/>
      <c r="HWV45" s="685"/>
      <c r="HWW45" s="685"/>
      <c r="HWX45" s="685"/>
      <c r="HWY45" s="685"/>
      <c r="HWZ45" s="685"/>
      <c r="HXA45" s="685"/>
      <c r="HXB45" s="685"/>
      <c r="HXC45" s="685"/>
      <c r="HXD45" s="685"/>
      <c r="HXE45" s="685"/>
      <c r="HXF45" s="685"/>
      <c r="HXG45" s="685"/>
      <c r="HXH45" s="685"/>
      <c r="HXI45" s="685"/>
      <c r="HXJ45" s="685"/>
      <c r="HXK45" s="685"/>
      <c r="HXL45" s="685"/>
      <c r="HXM45" s="685"/>
      <c r="HXN45" s="685"/>
      <c r="HXO45" s="685"/>
      <c r="HXP45" s="685"/>
      <c r="HXQ45" s="685"/>
      <c r="HXR45" s="685"/>
      <c r="HXS45" s="685"/>
      <c r="HXT45" s="685"/>
      <c r="HXU45" s="685"/>
      <c r="HXV45" s="685"/>
      <c r="HXW45" s="685"/>
      <c r="HXX45" s="685"/>
      <c r="HXY45" s="685"/>
      <c r="HXZ45" s="685"/>
      <c r="HYA45" s="685"/>
      <c r="HYB45" s="685"/>
      <c r="HYC45" s="685"/>
      <c r="HYD45" s="685"/>
      <c r="HYE45" s="685"/>
      <c r="HYF45" s="685"/>
      <c r="HYG45" s="685"/>
      <c r="HYH45" s="685"/>
      <c r="HYI45" s="685"/>
      <c r="HYJ45" s="685"/>
      <c r="HYK45" s="685"/>
      <c r="HYL45" s="685"/>
      <c r="HYM45" s="685"/>
      <c r="HYN45" s="685"/>
      <c r="HYO45" s="685"/>
      <c r="HYP45" s="685"/>
      <c r="HYQ45" s="685"/>
      <c r="HYR45" s="685"/>
      <c r="HYS45" s="685"/>
      <c r="HYT45" s="685"/>
      <c r="HYU45" s="685"/>
      <c r="HYV45" s="685"/>
      <c r="HYW45" s="685"/>
      <c r="HYX45" s="685"/>
      <c r="HYY45" s="685"/>
      <c r="HYZ45" s="685"/>
      <c r="HZA45" s="685"/>
      <c r="HZB45" s="685"/>
      <c r="HZC45" s="685"/>
      <c r="HZD45" s="685"/>
      <c r="HZE45" s="685"/>
      <c r="HZF45" s="685"/>
      <c r="HZG45" s="685"/>
      <c r="HZH45" s="685"/>
      <c r="HZI45" s="685"/>
      <c r="HZJ45" s="685"/>
      <c r="HZK45" s="685"/>
      <c r="HZL45" s="685"/>
      <c r="HZM45" s="685"/>
      <c r="HZN45" s="685"/>
      <c r="HZO45" s="685"/>
      <c r="HZP45" s="685"/>
      <c r="HZQ45" s="685"/>
      <c r="HZR45" s="685"/>
      <c r="HZS45" s="685"/>
      <c r="HZT45" s="685"/>
      <c r="HZU45" s="685"/>
      <c r="HZV45" s="685"/>
      <c r="HZW45" s="685"/>
      <c r="HZX45" s="685"/>
      <c r="HZY45" s="685"/>
      <c r="HZZ45" s="685"/>
      <c r="IAA45" s="685"/>
      <c r="IAB45" s="685"/>
      <c r="IAC45" s="685"/>
      <c r="IAD45" s="685"/>
      <c r="IAE45" s="685"/>
      <c r="IAF45" s="685"/>
      <c r="IAG45" s="685"/>
      <c r="IAH45" s="685"/>
      <c r="IAI45" s="685"/>
      <c r="IAJ45" s="685"/>
      <c r="IAK45" s="685"/>
      <c r="IAL45" s="685"/>
      <c r="IAM45" s="685"/>
      <c r="IAN45" s="685"/>
      <c r="IAO45" s="685"/>
      <c r="IAP45" s="685"/>
      <c r="IAQ45" s="685"/>
      <c r="IAR45" s="685"/>
      <c r="IAS45" s="685"/>
      <c r="IAT45" s="685"/>
      <c r="IAU45" s="685"/>
      <c r="IAV45" s="685"/>
      <c r="IAW45" s="685"/>
      <c r="IAX45" s="685"/>
      <c r="IAY45" s="685"/>
      <c r="IAZ45" s="685"/>
      <c r="IBA45" s="685"/>
      <c r="IBB45" s="685"/>
      <c r="IBC45" s="685"/>
      <c r="IBD45" s="685"/>
      <c r="IBE45" s="685"/>
      <c r="IBF45" s="685"/>
      <c r="IBG45" s="685"/>
      <c r="IBH45" s="685"/>
      <c r="IBI45" s="685"/>
      <c r="IBJ45" s="685"/>
      <c r="IBK45" s="685"/>
      <c r="IBL45" s="685"/>
      <c r="IBM45" s="685"/>
      <c r="IBN45" s="685"/>
      <c r="IBO45" s="685"/>
      <c r="IBP45" s="685"/>
      <c r="IBQ45" s="685"/>
      <c r="IBR45" s="685"/>
      <c r="IBS45" s="685"/>
      <c r="IBT45" s="685"/>
      <c r="IBU45" s="685"/>
      <c r="IBV45" s="685"/>
      <c r="IBW45" s="685"/>
      <c r="IBX45" s="685"/>
      <c r="IBY45" s="685"/>
      <c r="IBZ45" s="685"/>
      <c r="ICA45" s="685"/>
      <c r="ICB45" s="685"/>
      <c r="ICC45" s="685"/>
      <c r="ICD45" s="685"/>
      <c r="ICE45" s="685"/>
      <c r="ICF45" s="685"/>
      <c r="ICG45" s="685"/>
      <c r="ICH45" s="685"/>
      <c r="ICI45" s="685"/>
      <c r="ICJ45" s="685"/>
      <c r="ICK45" s="685"/>
      <c r="ICL45" s="685"/>
      <c r="ICM45" s="685"/>
      <c r="ICN45" s="685"/>
      <c r="ICO45" s="685"/>
      <c r="ICP45" s="685"/>
      <c r="ICQ45" s="685"/>
      <c r="ICR45" s="685"/>
      <c r="ICS45" s="685"/>
      <c r="ICT45" s="685"/>
      <c r="ICU45" s="685"/>
      <c r="ICV45" s="685"/>
      <c r="ICW45" s="685"/>
      <c r="ICX45" s="685"/>
      <c r="ICY45" s="685"/>
      <c r="ICZ45" s="685"/>
      <c r="IDA45" s="685"/>
      <c r="IDB45" s="685"/>
      <c r="IDC45" s="685"/>
      <c r="IDD45" s="685"/>
      <c r="IDE45" s="685"/>
      <c r="IDF45" s="685"/>
      <c r="IDG45" s="685"/>
      <c r="IDH45" s="685"/>
      <c r="IDI45" s="685"/>
      <c r="IDJ45" s="685"/>
      <c r="IDK45" s="685"/>
      <c r="IDL45" s="685"/>
      <c r="IDM45" s="685"/>
      <c r="IDN45" s="685"/>
      <c r="IDO45" s="685"/>
      <c r="IDP45" s="685"/>
      <c r="IDQ45" s="685"/>
      <c r="IDR45" s="685"/>
      <c r="IDS45" s="685"/>
      <c r="IDT45" s="685"/>
      <c r="IDU45" s="685"/>
      <c r="IDV45" s="685"/>
      <c r="IDW45" s="685"/>
      <c r="IDX45" s="685"/>
      <c r="IDY45" s="685"/>
      <c r="IDZ45" s="685"/>
      <c r="IEA45" s="685"/>
      <c r="IEB45" s="685"/>
      <c r="IEC45" s="685"/>
      <c r="IED45" s="685"/>
      <c r="IEE45" s="685"/>
      <c r="IEF45" s="685"/>
      <c r="IEG45" s="685"/>
      <c r="IEH45" s="685"/>
      <c r="IEI45" s="685"/>
      <c r="IEJ45" s="685"/>
      <c r="IEK45" s="685"/>
      <c r="IEL45" s="685"/>
      <c r="IEM45" s="685"/>
      <c r="IEN45" s="685"/>
      <c r="IEO45" s="685"/>
      <c r="IEP45" s="685"/>
      <c r="IEQ45" s="685"/>
      <c r="IER45" s="685"/>
      <c r="IES45" s="685"/>
      <c r="IET45" s="685"/>
      <c r="IEU45" s="685"/>
      <c r="IEV45" s="685"/>
      <c r="IEW45" s="685"/>
      <c r="IEX45" s="685"/>
      <c r="IEY45" s="685"/>
      <c r="IEZ45" s="685"/>
      <c r="IFA45" s="685"/>
      <c r="IFB45" s="685"/>
      <c r="IFC45" s="685"/>
      <c r="IFD45" s="685"/>
      <c r="IFE45" s="685"/>
      <c r="IFF45" s="685"/>
      <c r="IFG45" s="685"/>
      <c r="IFH45" s="685"/>
      <c r="IFI45" s="685"/>
      <c r="IFJ45" s="685"/>
      <c r="IFK45" s="685"/>
      <c r="IFL45" s="685"/>
      <c r="IFM45" s="685"/>
      <c r="IFN45" s="685"/>
      <c r="IFO45" s="685"/>
      <c r="IFP45" s="685"/>
      <c r="IFQ45" s="685"/>
      <c r="IFR45" s="685"/>
      <c r="IFS45" s="685"/>
      <c r="IFT45" s="685"/>
      <c r="IFU45" s="685"/>
      <c r="IFV45" s="685"/>
      <c r="IFW45" s="685"/>
      <c r="IFX45" s="685"/>
      <c r="IFY45" s="685"/>
      <c r="IFZ45" s="685"/>
      <c r="IGA45" s="685"/>
      <c r="IGB45" s="685"/>
      <c r="IGC45" s="685"/>
      <c r="IGD45" s="685"/>
      <c r="IGE45" s="685"/>
      <c r="IGF45" s="685"/>
      <c r="IGG45" s="685"/>
      <c r="IGH45" s="685"/>
      <c r="IGI45" s="685"/>
      <c r="IGJ45" s="685"/>
      <c r="IGK45" s="685"/>
      <c r="IGL45" s="685"/>
      <c r="IGM45" s="685"/>
      <c r="IGN45" s="685"/>
      <c r="IGO45" s="685"/>
      <c r="IGP45" s="685"/>
      <c r="IGQ45" s="685"/>
      <c r="IGR45" s="685"/>
      <c r="IGS45" s="685"/>
      <c r="IGT45" s="685"/>
      <c r="IGU45" s="685"/>
      <c r="IGV45" s="685"/>
      <c r="IGW45" s="685"/>
      <c r="IGX45" s="685"/>
      <c r="IGY45" s="685"/>
      <c r="IGZ45" s="685"/>
      <c r="IHA45" s="685"/>
      <c r="IHB45" s="685"/>
      <c r="IHC45" s="685"/>
      <c r="IHD45" s="685"/>
      <c r="IHE45" s="685"/>
      <c r="IHF45" s="685"/>
      <c r="IHG45" s="685"/>
      <c r="IHH45" s="685"/>
      <c r="IHI45" s="685"/>
      <c r="IHJ45" s="685"/>
      <c r="IHK45" s="685"/>
      <c r="IHL45" s="685"/>
      <c r="IHM45" s="685"/>
      <c r="IHN45" s="685"/>
      <c r="IHO45" s="685"/>
      <c r="IHP45" s="685"/>
      <c r="IHQ45" s="685"/>
      <c r="IHR45" s="685"/>
      <c r="IHS45" s="685"/>
      <c r="IHT45" s="685"/>
      <c r="IHU45" s="685"/>
      <c r="IHV45" s="685"/>
      <c r="IHW45" s="685"/>
      <c r="IHX45" s="685"/>
      <c r="IHY45" s="685"/>
      <c r="IHZ45" s="685"/>
      <c r="IIA45" s="685"/>
      <c r="IIB45" s="685"/>
      <c r="IIC45" s="685"/>
      <c r="IID45" s="685"/>
      <c r="IIE45" s="685"/>
      <c r="IIF45" s="685"/>
      <c r="IIG45" s="685"/>
      <c r="IIH45" s="685"/>
      <c r="III45" s="685"/>
      <c r="IIJ45" s="685"/>
      <c r="IIK45" s="685"/>
      <c r="IIL45" s="685"/>
      <c r="IIM45" s="685"/>
      <c r="IIN45" s="685"/>
      <c r="IIO45" s="685"/>
      <c r="IIP45" s="685"/>
      <c r="IIQ45" s="685"/>
      <c r="IIR45" s="685"/>
      <c r="IIS45" s="685"/>
      <c r="IIT45" s="685"/>
      <c r="IIU45" s="685"/>
      <c r="IIV45" s="685"/>
      <c r="IIW45" s="685"/>
      <c r="IIX45" s="685"/>
      <c r="IIY45" s="685"/>
      <c r="IIZ45" s="685"/>
      <c r="IJA45" s="685"/>
      <c r="IJB45" s="685"/>
      <c r="IJC45" s="685"/>
      <c r="IJD45" s="685"/>
      <c r="IJE45" s="685"/>
      <c r="IJF45" s="685"/>
      <c r="IJG45" s="685"/>
      <c r="IJH45" s="685"/>
      <c r="IJI45" s="685"/>
      <c r="IJJ45" s="685"/>
      <c r="IJK45" s="685"/>
      <c r="IJL45" s="685"/>
      <c r="IJM45" s="685"/>
      <c r="IJN45" s="685"/>
      <c r="IJO45" s="685"/>
      <c r="IJP45" s="685"/>
      <c r="IJQ45" s="685"/>
      <c r="IJR45" s="685"/>
      <c r="IJS45" s="685"/>
      <c r="IJT45" s="685"/>
      <c r="IJU45" s="685"/>
      <c r="IJV45" s="685"/>
      <c r="IJW45" s="685"/>
      <c r="IJX45" s="685"/>
      <c r="IJY45" s="685"/>
      <c r="IJZ45" s="685"/>
      <c r="IKA45" s="685"/>
      <c r="IKB45" s="685"/>
      <c r="IKC45" s="685"/>
      <c r="IKD45" s="685"/>
      <c r="IKE45" s="685"/>
      <c r="IKF45" s="685"/>
      <c r="IKG45" s="685"/>
      <c r="IKH45" s="685"/>
      <c r="IKI45" s="685"/>
      <c r="IKJ45" s="685"/>
      <c r="IKK45" s="685"/>
      <c r="IKL45" s="685"/>
      <c r="IKM45" s="685"/>
      <c r="IKN45" s="685"/>
      <c r="IKO45" s="685"/>
      <c r="IKP45" s="685"/>
      <c r="IKQ45" s="685"/>
      <c r="IKR45" s="685"/>
      <c r="IKS45" s="685"/>
      <c r="IKT45" s="685"/>
      <c r="IKU45" s="685"/>
      <c r="IKV45" s="685"/>
      <c r="IKW45" s="685"/>
      <c r="IKX45" s="685"/>
      <c r="IKY45" s="685"/>
      <c r="IKZ45" s="685"/>
      <c r="ILA45" s="685"/>
      <c r="ILB45" s="685"/>
      <c r="ILC45" s="685"/>
      <c r="ILD45" s="685"/>
      <c r="ILE45" s="685"/>
      <c r="ILF45" s="685"/>
      <c r="ILG45" s="685"/>
      <c r="ILH45" s="685"/>
      <c r="ILI45" s="685"/>
      <c r="ILJ45" s="685"/>
      <c r="ILK45" s="685"/>
      <c r="ILL45" s="685"/>
      <c r="ILM45" s="685"/>
      <c r="ILN45" s="685"/>
      <c r="ILO45" s="685"/>
      <c r="ILP45" s="685"/>
      <c r="ILQ45" s="685"/>
      <c r="ILR45" s="685"/>
      <c r="ILS45" s="685"/>
      <c r="ILT45" s="685"/>
      <c r="ILU45" s="685"/>
      <c r="ILV45" s="685"/>
      <c r="ILW45" s="685"/>
      <c r="ILX45" s="685"/>
      <c r="ILY45" s="685"/>
      <c r="ILZ45" s="685"/>
      <c r="IMA45" s="685"/>
      <c r="IMB45" s="685"/>
      <c r="IMC45" s="685"/>
      <c r="IMD45" s="685"/>
      <c r="IME45" s="685"/>
      <c r="IMF45" s="685"/>
      <c r="IMG45" s="685"/>
      <c r="IMH45" s="685"/>
      <c r="IMI45" s="685"/>
      <c r="IMJ45" s="685"/>
      <c r="IMK45" s="685"/>
      <c r="IML45" s="685"/>
      <c r="IMM45" s="685"/>
      <c r="IMN45" s="685"/>
      <c r="IMO45" s="685"/>
      <c r="IMP45" s="685"/>
      <c r="IMQ45" s="685"/>
      <c r="IMR45" s="685"/>
      <c r="IMS45" s="685"/>
      <c r="IMT45" s="685"/>
      <c r="IMU45" s="685"/>
      <c r="IMV45" s="685"/>
      <c r="IMW45" s="685"/>
      <c r="IMX45" s="685"/>
      <c r="IMY45" s="685"/>
      <c r="IMZ45" s="685"/>
      <c r="INA45" s="685"/>
      <c r="INB45" s="685"/>
      <c r="INC45" s="685"/>
      <c r="IND45" s="685"/>
      <c r="INE45" s="685"/>
      <c r="INF45" s="685"/>
      <c r="ING45" s="685"/>
      <c r="INH45" s="685"/>
      <c r="INI45" s="685"/>
      <c r="INJ45" s="685"/>
      <c r="INK45" s="685"/>
      <c r="INL45" s="685"/>
      <c r="INM45" s="685"/>
      <c r="INN45" s="685"/>
      <c r="INO45" s="685"/>
      <c r="INP45" s="685"/>
      <c r="INQ45" s="685"/>
      <c r="INR45" s="685"/>
      <c r="INS45" s="685"/>
      <c r="INT45" s="685"/>
      <c r="INU45" s="685"/>
      <c r="INV45" s="685"/>
      <c r="INW45" s="685"/>
      <c r="INX45" s="685"/>
      <c r="INY45" s="685"/>
      <c r="INZ45" s="685"/>
      <c r="IOA45" s="685"/>
      <c r="IOB45" s="685"/>
      <c r="IOC45" s="685"/>
      <c r="IOD45" s="685"/>
      <c r="IOE45" s="685"/>
      <c r="IOF45" s="685"/>
      <c r="IOG45" s="685"/>
      <c r="IOH45" s="685"/>
      <c r="IOI45" s="685"/>
      <c r="IOJ45" s="685"/>
      <c r="IOK45" s="685"/>
      <c r="IOL45" s="685"/>
      <c r="IOM45" s="685"/>
      <c r="ION45" s="685"/>
      <c r="IOO45" s="685"/>
      <c r="IOP45" s="685"/>
      <c r="IOQ45" s="685"/>
      <c r="IOR45" s="685"/>
      <c r="IOS45" s="685"/>
      <c r="IOT45" s="685"/>
      <c r="IOU45" s="685"/>
      <c r="IOV45" s="685"/>
      <c r="IOW45" s="685"/>
      <c r="IOX45" s="685"/>
      <c r="IOY45" s="685"/>
      <c r="IOZ45" s="685"/>
      <c r="IPA45" s="685"/>
      <c r="IPB45" s="685"/>
      <c r="IPC45" s="685"/>
      <c r="IPD45" s="685"/>
      <c r="IPE45" s="685"/>
      <c r="IPF45" s="685"/>
      <c r="IPG45" s="685"/>
      <c r="IPH45" s="685"/>
      <c r="IPI45" s="685"/>
      <c r="IPJ45" s="685"/>
      <c r="IPK45" s="685"/>
      <c r="IPL45" s="685"/>
      <c r="IPM45" s="685"/>
      <c r="IPN45" s="685"/>
      <c r="IPO45" s="685"/>
      <c r="IPP45" s="685"/>
      <c r="IPQ45" s="685"/>
      <c r="IPR45" s="685"/>
      <c r="IPS45" s="685"/>
      <c r="IPT45" s="685"/>
      <c r="IPU45" s="685"/>
      <c r="IPV45" s="685"/>
      <c r="IPW45" s="685"/>
      <c r="IPX45" s="685"/>
      <c r="IPY45" s="685"/>
      <c r="IPZ45" s="685"/>
      <c r="IQA45" s="685"/>
      <c r="IQB45" s="685"/>
      <c r="IQC45" s="685"/>
      <c r="IQD45" s="685"/>
      <c r="IQE45" s="685"/>
      <c r="IQF45" s="685"/>
      <c r="IQG45" s="685"/>
      <c r="IQH45" s="685"/>
      <c r="IQI45" s="685"/>
      <c r="IQJ45" s="685"/>
      <c r="IQK45" s="685"/>
      <c r="IQL45" s="685"/>
      <c r="IQM45" s="685"/>
      <c r="IQN45" s="685"/>
      <c r="IQO45" s="685"/>
      <c r="IQP45" s="685"/>
      <c r="IQQ45" s="685"/>
      <c r="IQR45" s="685"/>
      <c r="IQS45" s="685"/>
      <c r="IQT45" s="685"/>
      <c r="IQU45" s="685"/>
      <c r="IQV45" s="685"/>
      <c r="IQW45" s="685"/>
      <c r="IQX45" s="685"/>
      <c r="IQY45" s="685"/>
      <c r="IQZ45" s="685"/>
      <c r="IRA45" s="685"/>
      <c r="IRB45" s="685"/>
      <c r="IRC45" s="685"/>
      <c r="IRD45" s="685"/>
      <c r="IRE45" s="685"/>
      <c r="IRF45" s="685"/>
      <c r="IRG45" s="685"/>
      <c r="IRH45" s="685"/>
      <c r="IRI45" s="685"/>
      <c r="IRJ45" s="685"/>
      <c r="IRK45" s="685"/>
      <c r="IRL45" s="685"/>
      <c r="IRM45" s="685"/>
      <c r="IRN45" s="685"/>
      <c r="IRO45" s="685"/>
      <c r="IRP45" s="685"/>
      <c r="IRQ45" s="685"/>
      <c r="IRR45" s="685"/>
      <c r="IRS45" s="685"/>
      <c r="IRT45" s="685"/>
      <c r="IRU45" s="685"/>
      <c r="IRV45" s="685"/>
      <c r="IRW45" s="685"/>
      <c r="IRX45" s="685"/>
      <c r="IRY45" s="685"/>
      <c r="IRZ45" s="685"/>
      <c r="ISA45" s="685"/>
      <c r="ISB45" s="685"/>
      <c r="ISC45" s="685"/>
      <c r="ISD45" s="685"/>
      <c r="ISE45" s="685"/>
      <c r="ISF45" s="685"/>
      <c r="ISG45" s="685"/>
      <c r="ISH45" s="685"/>
      <c r="ISI45" s="685"/>
      <c r="ISJ45" s="685"/>
      <c r="ISK45" s="685"/>
      <c r="ISL45" s="685"/>
      <c r="ISM45" s="685"/>
      <c r="ISN45" s="685"/>
      <c r="ISO45" s="685"/>
      <c r="ISP45" s="685"/>
      <c r="ISQ45" s="685"/>
      <c r="ISR45" s="685"/>
      <c r="ISS45" s="685"/>
      <c r="IST45" s="685"/>
      <c r="ISU45" s="685"/>
      <c r="ISV45" s="685"/>
      <c r="ISW45" s="685"/>
      <c r="ISX45" s="685"/>
      <c r="ISY45" s="685"/>
      <c r="ISZ45" s="685"/>
      <c r="ITA45" s="685"/>
      <c r="ITB45" s="685"/>
      <c r="ITC45" s="685"/>
      <c r="ITD45" s="685"/>
      <c r="ITE45" s="685"/>
      <c r="ITF45" s="685"/>
      <c r="ITG45" s="685"/>
      <c r="ITH45" s="685"/>
      <c r="ITI45" s="685"/>
      <c r="ITJ45" s="685"/>
      <c r="ITK45" s="685"/>
      <c r="ITL45" s="685"/>
      <c r="ITM45" s="685"/>
      <c r="ITN45" s="685"/>
      <c r="ITO45" s="685"/>
      <c r="ITP45" s="685"/>
      <c r="ITQ45" s="685"/>
      <c r="ITR45" s="685"/>
      <c r="ITS45" s="685"/>
      <c r="ITT45" s="685"/>
      <c r="ITU45" s="685"/>
      <c r="ITV45" s="685"/>
      <c r="ITW45" s="685"/>
      <c r="ITX45" s="685"/>
      <c r="ITY45" s="685"/>
      <c r="ITZ45" s="685"/>
      <c r="IUA45" s="685"/>
      <c r="IUB45" s="685"/>
      <c r="IUC45" s="685"/>
      <c r="IUD45" s="685"/>
      <c r="IUE45" s="685"/>
      <c r="IUF45" s="685"/>
      <c r="IUG45" s="685"/>
      <c r="IUH45" s="685"/>
      <c r="IUI45" s="685"/>
      <c r="IUJ45" s="685"/>
      <c r="IUK45" s="685"/>
      <c r="IUL45" s="685"/>
      <c r="IUM45" s="685"/>
      <c r="IUN45" s="685"/>
      <c r="IUO45" s="685"/>
      <c r="IUP45" s="685"/>
      <c r="IUQ45" s="685"/>
      <c r="IUR45" s="685"/>
      <c r="IUS45" s="685"/>
      <c r="IUT45" s="685"/>
      <c r="IUU45" s="685"/>
      <c r="IUV45" s="685"/>
      <c r="IUW45" s="685"/>
      <c r="IUX45" s="685"/>
      <c r="IUY45" s="685"/>
      <c r="IUZ45" s="685"/>
      <c r="IVA45" s="685"/>
      <c r="IVB45" s="685"/>
      <c r="IVC45" s="685"/>
      <c r="IVD45" s="685"/>
      <c r="IVE45" s="685"/>
      <c r="IVF45" s="685"/>
      <c r="IVG45" s="685"/>
      <c r="IVH45" s="685"/>
      <c r="IVI45" s="685"/>
      <c r="IVJ45" s="685"/>
      <c r="IVK45" s="685"/>
      <c r="IVL45" s="685"/>
      <c r="IVM45" s="685"/>
      <c r="IVN45" s="685"/>
      <c r="IVO45" s="685"/>
      <c r="IVP45" s="685"/>
      <c r="IVQ45" s="685"/>
      <c r="IVR45" s="685"/>
      <c r="IVS45" s="685"/>
      <c r="IVT45" s="685"/>
      <c r="IVU45" s="685"/>
      <c r="IVV45" s="685"/>
      <c r="IVW45" s="685"/>
      <c r="IVX45" s="685"/>
      <c r="IVY45" s="685"/>
      <c r="IVZ45" s="685"/>
      <c r="IWA45" s="685"/>
      <c r="IWB45" s="685"/>
      <c r="IWC45" s="685"/>
      <c r="IWD45" s="685"/>
      <c r="IWE45" s="685"/>
      <c r="IWF45" s="685"/>
      <c r="IWG45" s="685"/>
      <c r="IWH45" s="685"/>
      <c r="IWI45" s="685"/>
      <c r="IWJ45" s="685"/>
      <c r="IWK45" s="685"/>
      <c r="IWL45" s="685"/>
      <c r="IWM45" s="685"/>
      <c r="IWN45" s="685"/>
      <c r="IWO45" s="685"/>
      <c r="IWP45" s="685"/>
      <c r="IWQ45" s="685"/>
      <c r="IWR45" s="685"/>
      <c r="IWS45" s="685"/>
      <c r="IWT45" s="685"/>
      <c r="IWU45" s="685"/>
      <c r="IWV45" s="685"/>
      <c r="IWW45" s="685"/>
      <c r="IWX45" s="685"/>
      <c r="IWY45" s="685"/>
      <c r="IWZ45" s="685"/>
      <c r="IXA45" s="685"/>
      <c r="IXB45" s="685"/>
      <c r="IXC45" s="685"/>
      <c r="IXD45" s="685"/>
      <c r="IXE45" s="685"/>
      <c r="IXF45" s="685"/>
      <c r="IXG45" s="685"/>
      <c r="IXH45" s="685"/>
      <c r="IXI45" s="685"/>
      <c r="IXJ45" s="685"/>
      <c r="IXK45" s="685"/>
      <c r="IXL45" s="685"/>
      <c r="IXM45" s="685"/>
      <c r="IXN45" s="685"/>
      <c r="IXO45" s="685"/>
      <c r="IXP45" s="685"/>
      <c r="IXQ45" s="685"/>
      <c r="IXR45" s="685"/>
      <c r="IXS45" s="685"/>
      <c r="IXT45" s="685"/>
      <c r="IXU45" s="685"/>
      <c r="IXV45" s="685"/>
      <c r="IXW45" s="685"/>
      <c r="IXX45" s="685"/>
      <c r="IXY45" s="685"/>
      <c r="IXZ45" s="685"/>
      <c r="IYA45" s="685"/>
      <c r="IYB45" s="685"/>
      <c r="IYC45" s="685"/>
      <c r="IYD45" s="685"/>
      <c r="IYE45" s="685"/>
      <c r="IYF45" s="685"/>
      <c r="IYG45" s="685"/>
      <c r="IYH45" s="685"/>
      <c r="IYI45" s="685"/>
      <c r="IYJ45" s="685"/>
      <c r="IYK45" s="685"/>
      <c r="IYL45" s="685"/>
      <c r="IYM45" s="685"/>
      <c r="IYN45" s="685"/>
      <c r="IYO45" s="685"/>
      <c r="IYP45" s="685"/>
      <c r="IYQ45" s="685"/>
      <c r="IYR45" s="685"/>
      <c r="IYS45" s="685"/>
      <c r="IYT45" s="685"/>
      <c r="IYU45" s="685"/>
      <c r="IYV45" s="685"/>
      <c r="IYW45" s="685"/>
      <c r="IYX45" s="685"/>
      <c r="IYY45" s="685"/>
      <c r="IYZ45" s="685"/>
      <c r="IZA45" s="685"/>
      <c r="IZB45" s="685"/>
      <c r="IZC45" s="685"/>
      <c r="IZD45" s="685"/>
      <c r="IZE45" s="685"/>
      <c r="IZF45" s="685"/>
      <c r="IZG45" s="685"/>
      <c r="IZH45" s="685"/>
      <c r="IZI45" s="685"/>
      <c r="IZJ45" s="685"/>
      <c r="IZK45" s="685"/>
      <c r="IZL45" s="685"/>
      <c r="IZM45" s="685"/>
      <c r="IZN45" s="685"/>
      <c r="IZO45" s="685"/>
      <c r="IZP45" s="685"/>
      <c r="IZQ45" s="685"/>
      <c r="IZR45" s="685"/>
      <c r="IZS45" s="685"/>
      <c r="IZT45" s="685"/>
      <c r="IZU45" s="685"/>
      <c r="IZV45" s="685"/>
      <c r="IZW45" s="685"/>
      <c r="IZX45" s="685"/>
      <c r="IZY45" s="685"/>
      <c r="IZZ45" s="685"/>
      <c r="JAA45" s="685"/>
      <c r="JAB45" s="685"/>
      <c r="JAC45" s="685"/>
      <c r="JAD45" s="685"/>
      <c r="JAE45" s="685"/>
      <c r="JAF45" s="685"/>
      <c r="JAG45" s="685"/>
      <c r="JAH45" s="685"/>
      <c r="JAI45" s="685"/>
      <c r="JAJ45" s="685"/>
      <c r="JAK45" s="685"/>
      <c r="JAL45" s="685"/>
      <c r="JAM45" s="685"/>
      <c r="JAN45" s="685"/>
      <c r="JAO45" s="685"/>
      <c r="JAP45" s="685"/>
      <c r="JAQ45" s="685"/>
      <c r="JAR45" s="685"/>
      <c r="JAS45" s="685"/>
      <c r="JAT45" s="685"/>
      <c r="JAU45" s="685"/>
      <c r="JAV45" s="685"/>
      <c r="JAW45" s="685"/>
      <c r="JAX45" s="685"/>
      <c r="JAY45" s="685"/>
      <c r="JAZ45" s="685"/>
      <c r="JBA45" s="685"/>
      <c r="JBB45" s="685"/>
      <c r="JBC45" s="685"/>
      <c r="JBD45" s="685"/>
      <c r="JBE45" s="685"/>
      <c r="JBF45" s="685"/>
      <c r="JBG45" s="685"/>
      <c r="JBH45" s="685"/>
      <c r="JBI45" s="685"/>
      <c r="JBJ45" s="685"/>
      <c r="JBK45" s="685"/>
      <c r="JBL45" s="685"/>
      <c r="JBM45" s="685"/>
      <c r="JBN45" s="685"/>
      <c r="JBO45" s="685"/>
      <c r="JBP45" s="685"/>
      <c r="JBQ45" s="685"/>
      <c r="JBR45" s="685"/>
      <c r="JBS45" s="685"/>
      <c r="JBT45" s="685"/>
      <c r="JBU45" s="685"/>
      <c r="JBV45" s="685"/>
      <c r="JBW45" s="685"/>
      <c r="JBX45" s="685"/>
      <c r="JBY45" s="685"/>
      <c r="JBZ45" s="685"/>
      <c r="JCA45" s="685"/>
      <c r="JCB45" s="685"/>
      <c r="JCC45" s="685"/>
      <c r="JCD45" s="685"/>
      <c r="JCE45" s="685"/>
      <c r="JCF45" s="685"/>
      <c r="JCG45" s="685"/>
      <c r="JCH45" s="685"/>
      <c r="JCI45" s="685"/>
      <c r="JCJ45" s="685"/>
      <c r="JCK45" s="685"/>
      <c r="JCL45" s="685"/>
      <c r="JCM45" s="685"/>
      <c r="JCN45" s="685"/>
      <c r="JCO45" s="685"/>
      <c r="JCP45" s="685"/>
      <c r="JCQ45" s="685"/>
      <c r="JCR45" s="685"/>
      <c r="JCS45" s="685"/>
      <c r="JCT45" s="685"/>
      <c r="JCU45" s="685"/>
      <c r="JCV45" s="685"/>
      <c r="JCW45" s="685"/>
      <c r="JCX45" s="685"/>
      <c r="JCY45" s="685"/>
      <c r="JCZ45" s="685"/>
      <c r="JDA45" s="685"/>
      <c r="JDB45" s="685"/>
      <c r="JDC45" s="685"/>
      <c r="JDD45" s="685"/>
      <c r="JDE45" s="685"/>
      <c r="JDF45" s="685"/>
      <c r="JDG45" s="685"/>
      <c r="JDH45" s="685"/>
      <c r="JDI45" s="685"/>
      <c r="JDJ45" s="685"/>
      <c r="JDK45" s="685"/>
      <c r="JDL45" s="685"/>
      <c r="JDM45" s="685"/>
      <c r="JDN45" s="685"/>
      <c r="JDO45" s="685"/>
      <c r="JDP45" s="685"/>
      <c r="JDQ45" s="685"/>
      <c r="JDR45" s="685"/>
      <c r="JDS45" s="685"/>
      <c r="JDT45" s="685"/>
      <c r="JDU45" s="685"/>
      <c r="JDV45" s="685"/>
      <c r="JDW45" s="685"/>
      <c r="JDX45" s="685"/>
      <c r="JDY45" s="685"/>
      <c r="JDZ45" s="685"/>
      <c r="JEA45" s="685"/>
      <c r="JEB45" s="685"/>
      <c r="JEC45" s="685"/>
      <c r="JED45" s="685"/>
      <c r="JEE45" s="685"/>
      <c r="JEF45" s="685"/>
      <c r="JEG45" s="685"/>
      <c r="JEH45" s="685"/>
      <c r="JEI45" s="685"/>
      <c r="JEJ45" s="685"/>
      <c r="JEK45" s="685"/>
      <c r="JEL45" s="685"/>
      <c r="JEM45" s="685"/>
      <c r="JEN45" s="685"/>
      <c r="JEO45" s="685"/>
      <c r="JEP45" s="685"/>
      <c r="JEQ45" s="685"/>
      <c r="JER45" s="685"/>
      <c r="JES45" s="685"/>
      <c r="JET45" s="685"/>
      <c r="JEU45" s="685"/>
      <c r="JEV45" s="685"/>
      <c r="JEW45" s="685"/>
      <c r="JEX45" s="685"/>
      <c r="JEY45" s="685"/>
      <c r="JEZ45" s="685"/>
      <c r="JFA45" s="685"/>
      <c r="JFB45" s="685"/>
      <c r="JFC45" s="685"/>
      <c r="JFD45" s="685"/>
      <c r="JFE45" s="685"/>
      <c r="JFF45" s="685"/>
      <c r="JFG45" s="685"/>
      <c r="JFH45" s="685"/>
      <c r="JFI45" s="685"/>
      <c r="JFJ45" s="685"/>
      <c r="JFK45" s="685"/>
      <c r="JFL45" s="685"/>
      <c r="JFM45" s="685"/>
      <c r="JFN45" s="685"/>
      <c r="JFO45" s="685"/>
      <c r="JFP45" s="685"/>
      <c r="JFQ45" s="685"/>
      <c r="JFR45" s="685"/>
      <c r="JFS45" s="685"/>
      <c r="JFT45" s="685"/>
      <c r="JFU45" s="685"/>
      <c r="JFV45" s="685"/>
      <c r="JFW45" s="685"/>
      <c r="JFX45" s="685"/>
      <c r="JFY45" s="685"/>
      <c r="JFZ45" s="685"/>
      <c r="JGA45" s="685"/>
      <c r="JGB45" s="685"/>
      <c r="JGC45" s="685"/>
      <c r="JGD45" s="685"/>
      <c r="JGE45" s="685"/>
      <c r="JGF45" s="685"/>
      <c r="JGG45" s="685"/>
      <c r="JGH45" s="685"/>
      <c r="JGI45" s="685"/>
      <c r="JGJ45" s="685"/>
      <c r="JGK45" s="685"/>
      <c r="JGL45" s="685"/>
      <c r="JGM45" s="685"/>
      <c r="JGN45" s="685"/>
      <c r="JGO45" s="685"/>
      <c r="JGP45" s="685"/>
      <c r="JGQ45" s="685"/>
      <c r="JGR45" s="685"/>
      <c r="JGS45" s="685"/>
      <c r="JGT45" s="685"/>
      <c r="JGU45" s="685"/>
      <c r="JGV45" s="685"/>
      <c r="JGW45" s="685"/>
      <c r="JGX45" s="685"/>
      <c r="JGY45" s="685"/>
      <c r="JGZ45" s="685"/>
      <c r="JHA45" s="685"/>
      <c r="JHB45" s="685"/>
      <c r="JHC45" s="685"/>
      <c r="JHD45" s="685"/>
      <c r="JHE45" s="685"/>
      <c r="JHF45" s="685"/>
      <c r="JHG45" s="685"/>
      <c r="JHH45" s="685"/>
      <c r="JHI45" s="685"/>
      <c r="JHJ45" s="685"/>
      <c r="JHK45" s="685"/>
      <c r="JHL45" s="685"/>
      <c r="JHM45" s="685"/>
      <c r="JHN45" s="685"/>
      <c r="JHO45" s="685"/>
      <c r="JHP45" s="685"/>
      <c r="JHQ45" s="685"/>
      <c r="JHR45" s="685"/>
      <c r="JHS45" s="685"/>
      <c r="JHT45" s="685"/>
      <c r="JHU45" s="685"/>
      <c r="JHV45" s="685"/>
      <c r="JHW45" s="685"/>
      <c r="JHX45" s="685"/>
      <c r="JHY45" s="685"/>
      <c r="JHZ45" s="685"/>
      <c r="JIA45" s="685"/>
      <c r="JIB45" s="685"/>
      <c r="JIC45" s="685"/>
      <c r="JID45" s="685"/>
      <c r="JIE45" s="685"/>
      <c r="JIF45" s="685"/>
      <c r="JIG45" s="685"/>
      <c r="JIH45" s="685"/>
      <c r="JII45" s="685"/>
      <c r="JIJ45" s="685"/>
      <c r="JIK45" s="685"/>
      <c r="JIL45" s="685"/>
      <c r="JIM45" s="685"/>
      <c r="JIN45" s="685"/>
      <c r="JIO45" s="685"/>
      <c r="JIP45" s="685"/>
      <c r="JIQ45" s="685"/>
      <c r="JIR45" s="685"/>
      <c r="JIS45" s="685"/>
      <c r="JIT45" s="685"/>
      <c r="JIU45" s="685"/>
      <c r="JIV45" s="685"/>
      <c r="JIW45" s="685"/>
      <c r="JIX45" s="685"/>
      <c r="JIY45" s="685"/>
      <c r="JIZ45" s="685"/>
      <c r="JJA45" s="685"/>
      <c r="JJB45" s="685"/>
      <c r="JJC45" s="685"/>
      <c r="JJD45" s="685"/>
      <c r="JJE45" s="685"/>
      <c r="JJF45" s="685"/>
      <c r="JJG45" s="685"/>
      <c r="JJH45" s="685"/>
      <c r="JJI45" s="685"/>
      <c r="JJJ45" s="685"/>
      <c r="JJK45" s="685"/>
      <c r="JJL45" s="685"/>
      <c r="JJM45" s="685"/>
      <c r="JJN45" s="685"/>
      <c r="JJO45" s="685"/>
      <c r="JJP45" s="685"/>
      <c r="JJQ45" s="685"/>
      <c r="JJR45" s="685"/>
      <c r="JJS45" s="685"/>
      <c r="JJT45" s="685"/>
      <c r="JJU45" s="685"/>
      <c r="JJV45" s="685"/>
      <c r="JJW45" s="685"/>
      <c r="JJX45" s="685"/>
      <c r="JJY45" s="685"/>
      <c r="JJZ45" s="685"/>
      <c r="JKA45" s="685"/>
      <c r="JKB45" s="685"/>
      <c r="JKC45" s="685"/>
      <c r="JKD45" s="685"/>
      <c r="JKE45" s="685"/>
      <c r="JKF45" s="685"/>
      <c r="JKG45" s="685"/>
      <c r="JKH45" s="685"/>
      <c r="JKI45" s="685"/>
      <c r="JKJ45" s="685"/>
      <c r="JKK45" s="685"/>
      <c r="JKL45" s="685"/>
      <c r="JKM45" s="685"/>
      <c r="JKN45" s="685"/>
      <c r="JKO45" s="685"/>
      <c r="JKP45" s="685"/>
      <c r="JKQ45" s="685"/>
      <c r="JKR45" s="685"/>
      <c r="JKS45" s="685"/>
      <c r="JKT45" s="685"/>
      <c r="JKU45" s="685"/>
      <c r="JKV45" s="685"/>
      <c r="JKW45" s="685"/>
      <c r="JKX45" s="685"/>
      <c r="JKY45" s="685"/>
      <c r="JKZ45" s="685"/>
      <c r="JLA45" s="685"/>
      <c r="JLB45" s="685"/>
      <c r="JLC45" s="685"/>
      <c r="JLD45" s="685"/>
      <c r="JLE45" s="685"/>
      <c r="JLF45" s="685"/>
      <c r="JLG45" s="685"/>
      <c r="JLH45" s="685"/>
      <c r="JLI45" s="685"/>
      <c r="JLJ45" s="685"/>
      <c r="JLK45" s="685"/>
      <c r="JLL45" s="685"/>
      <c r="JLM45" s="685"/>
      <c r="JLN45" s="685"/>
      <c r="JLO45" s="685"/>
      <c r="JLP45" s="685"/>
      <c r="JLQ45" s="685"/>
      <c r="JLR45" s="685"/>
      <c r="JLS45" s="685"/>
      <c r="JLT45" s="685"/>
      <c r="JLU45" s="685"/>
      <c r="JLV45" s="685"/>
      <c r="JLW45" s="685"/>
      <c r="JLX45" s="685"/>
      <c r="JLY45" s="685"/>
      <c r="JLZ45" s="685"/>
      <c r="JMA45" s="685"/>
      <c r="JMB45" s="685"/>
      <c r="JMC45" s="685"/>
      <c r="JMD45" s="685"/>
      <c r="JME45" s="685"/>
      <c r="JMF45" s="685"/>
      <c r="JMG45" s="685"/>
      <c r="JMH45" s="685"/>
      <c r="JMI45" s="685"/>
      <c r="JMJ45" s="685"/>
      <c r="JMK45" s="685"/>
      <c r="JML45" s="685"/>
      <c r="JMM45" s="685"/>
      <c r="JMN45" s="685"/>
      <c r="JMO45" s="685"/>
      <c r="JMP45" s="685"/>
      <c r="JMQ45" s="685"/>
      <c r="JMR45" s="685"/>
      <c r="JMS45" s="685"/>
      <c r="JMT45" s="685"/>
      <c r="JMU45" s="685"/>
      <c r="JMV45" s="685"/>
      <c r="JMW45" s="685"/>
      <c r="JMX45" s="685"/>
      <c r="JMY45" s="685"/>
      <c r="JMZ45" s="685"/>
      <c r="JNA45" s="685"/>
      <c r="JNB45" s="685"/>
      <c r="JNC45" s="685"/>
      <c r="JND45" s="685"/>
      <c r="JNE45" s="685"/>
      <c r="JNF45" s="685"/>
      <c r="JNG45" s="685"/>
      <c r="JNH45" s="685"/>
      <c r="JNI45" s="685"/>
      <c r="JNJ45" s="685"/>
      <c r="JNK45" s="685"/>
      <c r="JNL45" s="685"/>
      <c r="JNM45" s="685"/>
      <c r="JNN45" s="685"/>
      <c r="JNO45" s="685"/>
      <c r="JNP45" s="685"/>
      <c r="JNQ45" s="685"/>
      <c r="JNR45" s="685"/>
      <c r="JNS45" s="685"/>
      <c r="JNT45" s="685"/>
      <c r="JNU45" s="685"/>
      <c r="JNV45" s="685"/>
      <c r="JNW45" s="685"/>
      <c r="JNX45" s="685"/>
      <c r="JNY45" s="685"/>
      <c r="JNZ45" s="685"/>
      <c r="JOA45" s="685"/>
      <c r="JOB45" s="685"/>
      <c r="JOC45" s="685"/>
      <c r="JOD45" s="685"/>
      <c r="JOE45" s="685"/>
      <c r="JOF45" s="685"/>
      <c r="JOG45" s="685"/>
      <c r="JOH45" s="685"/>
      <c r="JOI45" s="685"/>
      <c r="JOJ45" s="685"/>
      <c r="JOK45" s="685"/>
      <c r="JOL45" s="685"/>
      <c r="JOM45" s="685"/>
      <c r="JON45" s="685"/>
      <c r="JOO45" s="685"/>
      <c r="JOP45" s="685"/>
      <c r="JOQ45" s="685"/>
      <c r="JOR45" s="685"/>
      <c r="JOS45" s="685"/>
      <c r="JOT45" s="685"/>
      <c r="JOU45" s="685"/>
      <c r="JOV45" s="685"/>
      <c r="JOW45" s="685"/>
      <c r="JOX45" s="685"/>
      <c r="JOY45" s="685"/>
      <c r="JOZ45" s="685"/>
      <c r="JPA45" s="685"/>
      <c r="JPB45" s="685"/>
      <c r="JPC45" s="685"/>
      <c r="JPD45" s="685"/>
      <c r="JPE45" s="685"/>
      <c r="JPF45" s="685"/>
      <c r="JPG45" s="685"/>
      <c r="JPH45" s="685"/>
      <c r="JPI45" s="685"/>
      <c r="JPJ45" s="685"/>
      <c r="JPK45" s="685"/>
      <c r="JPL45" s="685"/>
      <c r="JPM45" s="685"/>
      <c r="JPN45" s="685"/>
      <c r="JPO45" s="685"/>
      <c r="JPP45" s="685"/>
      <c r="JPQ45" s="685"/>
      <c r="JPR45" s="685"/>
      <c r="JPS45" s="685"/>
      <c r="JPT45" s="685"/>
      <c r="JPU45" s="685"/>
      <c r="JPV45" s="685"/>
      <c r="JPW45" s="685"/>
      <c r="JPX45" s="685"/>
      <c r="JPY45" s="685"/>
      <c r="JPZ45" s="685"/>
      <c r="JQA45" s="685"/>
      <c r="JQB45" s="685"/>
      <c r="JQC45" s="685"/>
      <c r="JQD45" s="685"/>
      <c r="JQE45" s="685"/>
      <c r="JQF45" s="685"/>
      <c r="JQG45" s="685"/>
      <c r="JQH45" s="685"/>
      <c r="JQI45" s="685"/>
      <c r="JQJ45" s="685"/>
      <c r="JQK45" s="685"/>
      <c r="JQL45" s="685"/>
      <c r="JQM45" s="685"/>
      <c r="JQN45" s="685"/>
      <c r="JQO45" s="685"/>
      <c r="JQP45" s="685"/>
      <c r="JQQ45" s="685"/>
      <c r="JQR45" s="685"/>
      <c r="JQS45" s="685"/>
      <c r="JQT45" s="685"/>
      <c r="JQU45" s="685"/>
      <c r="JQV45" s="685"/>
      <c r="JQW45" s="685"/>
      <c r="JQX45" s="685"/>
      <c r="JQY45" s="685"/>
      <c r="JQZ45" s="685"/>
      <c r="JRA45" s="685"/>
      <c r="JRB45" s="685"/>
      <c r="JRC45" s="685"/>
      <c r="JRD45" s="685"/>
      <c r="JRE45" s="685"/>
      <c r="JRF45" s="685"/>
      <c r="JRG45" s="685"/>
      <c r="JRH45" s="685"/>
      <c r="JRI45" s="685"/>
      <c r="JRJ45" s="685"/>
      <c r="JRK45" s="685"/>
      <c r="JRL45" s="685"/>
      <c r="JRM45" s="685"/>
      <c r="JRN45" s="685"/>
      <c r="JRO45" s="685"/>
      <c r="JRP45" s="685"/>
      <c r="JRQ45" s="685"/>
      <c r="JRR45" s="685"/>
      <c r="JRS45" s="685"/>
      <c r="JRT45" s="685"/>
      <c r="JRU45" s="685"/>
      <c r="JRV45" s="685"/>
      <c r="JRW45" s="685"/>
      <c r="JRX45" s="685"/>
      <c r="JRY45" s="685"/>
      <c r="JRZ45" s="685"/>
      <c r="JSA45" s="685"/>
      <c r="JSB45" s="685"/>
      <c r="JSC45" s="685"/>
      <c r="JSD45" s="685"/>
      <c r="JSE45" s="685"/>
      <c r="JSF45" s="685"/>
      <c r="JSG45" s="685"/>
      <c r="JSH45" s="685"/>
      <c r="JSI45" s="685"/>
      <c r="JSJ45" s="685"/>
      <c r="JSK45" s="685"/>
      <c r="JSL45" s="685"/>
      <c r="JSM45" s="685"/>
      <c r="JSN45" s="685"/>
      <c r="JSO45" s="685"/>
      <c r="JSP45" s="685"/>
      <c r="JSQ45" s="685"/>
      <c r="JSR45" s="685"/>
      <c r="JSS45" s="685"/>
      <c r="JST45" s="685"/>
      <c r="JSU45" s="685"/>
      <c r="JSV45" s="685"/>
      <c r="JSW45" s="685"/>
      <c r="JSX45" s="685"/>
      <c r="JSY45" s="685"/>
      <c r="JSZ45" s="685"/>
      <c r="JTA45" s="685"/>
      <c r="JTB45" s="685"/>
      <c r="JTC45" s="685"/>
      <c r="JTD45" s="685"/>
      <c r="JTE45" s="685"/>
      <c r="JTF45" s="685"/>
      <c r="JTG45" s="685"/>
      <c r="JTH45" s="685"/>
      <c r="JTI45" s="685"/>
      <c r="JTJ45" s="685"/>
      <c r="JTK45" s="685"/>
      <c r="JTL45" s="685"/>
      <c r="JTM45" s="685"/>
      <c r="JTN45" s="685"/>
      <c r="JTO45" s="685"/>
      <c r="JTP45" s="685"/>
      <c r="JTQ45" s="685"/>
      <c r="JTR45" s="685"/>
      <c r="JTS45" s="685"/>
      <c r="JTT45" s="685"/>
      <c r="JTU45" s="685"/>
      <c r="JTV45" s="685"/>
      <c r="JTW45" s="685"/>
      <c r="JTX45" s="685"/>
      <c r="JTY45" s="685"/>
      <c r="JTZ45" s="685"/>
      <c r="JUA45" s="685"/>
      <c r="JUB45" s="685"/>
      <c r="JUC45" s="685"/>
      <c r="JUD45" s="685"/>
      <c r="JUE45" s="685"/>
      <c r="JUF45" s="685"/>
      <c r="JUG45" s="685"/>
      <c r="JUH45" s="685"/>
      <c r="JUI45" s="685"/>
      <c r="JUJ45" s="685"/>
      <c r="JUK45" s="685"/>
      <c r="JUL45" s="685"/>
      <c r="JUM45" s="685"/>
      <c r="JUN45" s="685"/>
      <c r="JUO45" s="685"/>
      <c r="JUP45" s="685"/>
      <c r="JUQ45" s="685"/>
      <c r="JUR45" s="685"/>
      <c r="JUS45" s="685"/>
      <c r="JUT45" s="685"/>
      <c r="JUU45" s="685"/>
      <c r="JUV45" s="685"/>
      <c r="JUW45" s="685"/>
      <c r="JUX45" s="685"/>
      <c r="JUY45" s="685"/>
      <c r="JUZ45" s="685"/>
      <c r="JVA45" s="685"/>
      <c r="JVB45" s="685"/>
      <c r="JVC45" s="685"/>
      <c r="JVD45" s="685"/>
      <c r="JVE45" s="685"/>
      <c r="JVF45" s="685"/>
      <c r="JVG45" s="685"/>
      <c r="JVH45" s="685"/>
      <c r="JVI45" s="685"/>
      <c r="JVJ45" s="685"/>
      <c r="JVK45" s="685"/>
      <c r="JVL45" s="685"/>
      <c r="JVM45" s="685"/>
      <c r="JVN45" s="685"/>
      <c r="JVO45" s="685"/>
      <c r="JVP45" s="685"/>
      <c r="JVQ45" s="685"/>
      <c r="JVR45" s="685"/>
      <c r="JVS45" s="685"/>
      <c r="JVT45" s="685"/>
      <c r="JVU45" s="685"/>
      <c r="JVV45" s="685"/>
      <c r="JVW45" s="685"/>
      <c r="JVX45" s="685"/>
      <c r="JVY45" s="685"/>
      <c r="JVZ45" s="685"/>
      <c r="JWA45" s="685"/>
      <c r="JWB45" s="685"/>
      <c r="JWC45" s="685"/>
      <c r="JWD45" s="685"/>
      <c r="JWE45" s="685"/>
      <c r="JWF45" s="685"/>
      <c r="JWG45" s="685"/>
      <c r="JWH45" s="685"/>
      <c r="JWI45" s="685"/>
      <c r="JWJ45" s="685"/>
      <c r="JWK45" s="685"/>
      <c r="JWL45" s="685"/>
      <c r="JWM45" s="685"/>
      <c r="JWN45" s="685"/>
      <c r="JWO45" s="685"/>
      <c r="JWP45" s="685"/>
      <c r="JWQ45" s="685"/>
      <c r="JWR45" s="685"/>
      <c r="JWS45" s="685"/>
      <c r="JWT45" s="685"/>
      <c r="JWU45" s="685"/>
      <c r="JWV45" s="685"/>
      <c r="JWW45" s="685"/>
      <c r="JWX45" s="685"/>
      <c r="JWY45" s="685"/>
      <c r="JWZ45" s="685"/>
      <c r="JXA45" s="685"/>
      <c r="JXB45" s="685"/>
      <c r="JXC45" s="685"/>
      <c r="JXD45" s="685"/>
      <c r="JXE45" s="685"/>
      <c r="JXF45" s="685"/>
      <c r="JXG45" s="685"/>
      <c r="JXH45" s="685"/>
      <c r="JXI45" s="685"/>
      <c r="JXJ45" s="685"/>
      <c r="JXK45" s="685"/>
      <c r="JXL45" s="685"/>
      <c r="JXM45" s="685"/>
      <c r="JXN45" s="685"/>
      <c r="JXO45" s="685"/>
      <c r="JXP45" s="685"/>
      <c r="JXQ45" s="685"/>
      <c r="JXR45" s="685"/>
      <c r="JXS45" s="685"/>
      <c r="JXT45" s="685"/>
      <c r="JXU45" s="685"/>
      <c r="JXV45" s="685"/>
      <c r="JXW45" s="685"/>
      <c r="JXX45" s="685"/>
      <c r="JXY45" s="685"/>
      <c r="JXZ45" s="685"/>
      <c r="JYA45" s="685"/>
      <c r="JYB45" s="685"/>
      <c r="JYC45" s="685"/>
      <c r="JYD45" s="685"/>
      <c r="JYE45" s="685"/>
      <c r="JYF45" s="685"/>
      <c r="JYG45" s="685"/>
      <c r="JYH45" s="685"/>
      <c r="JYI45" s="685"/>
      <c r="JYJ45" s="685"/>
      <c r="JYK45" s="685"/>
      <c r="JYL45" s="685"/>
      <c r="JYM45" s="685"/>
      <c r="JYN45" s="685"/>
      <c r="JYO45" s="685"/>
      <c r="JYP45" s="685"/>
      <c r="JYQ45" s="685"/>
      <c r="JYR45" s="685"/>
      <c r="JYS45" s="685"/>
      <c r="JYT45" s="685"/>
      <c r="JYU45" s="685"/>
      <c r="JYV45" s="685"/>
      <c r="JYW45" s="685"/>
      <c r="JYX45" s="685"/>
      <c r="JYY45" s="685"/>
      <c r="JYZ45" s="685"/>
      <c r="JZA45" s="685"/>
      <c r="JZB45" s="685"/>
      <c r="JZC45" s="685"/>
      <c r="JZD45" s="685"/>
      <c r="JZE45" s="685"/>
      <c r="JZF45" s="685"/>
      <c r="JZG45" s="685"/>
      <c r="JZH45" s="685"/>
      <c r="JZI45" s="685"/>
      <c r="JZJ45" s="685"/>
      <c r="JZK45" s="685"/>
      <c r="JZL45" s="685"/>
      <c r="JZM45" s="685"/>
      <c r="JZN45" s="685"/>
      <c r="JZO45" s="685"/>
      <c r="JZP45" s="685"/>
      <c r="JZQ45" s="685"/>
      <c r="JZR45" s="685"/>
      <c r="JZS45" s="685"/>
      <c r="JZT45" s="685"/>
      <c r="JZU45" s="685"/>
      <c r="JZV45" s="685"/>
      <c r="JZW45" s="685"/>
      <c r="JZX45" s="685"/>
      <c r="JZY45" s="685"/>
      <c r="JZZ45" s="685"/>
      <c r="KAA45" s="685"/>
      <c r="KAB45" s="685"/>
      <c r="KAC45" s="685"/>
      <c r="KAD45" s="685"/>
      <c r="KAE45" s="685"/>
      <c r="KAF45" s="685"/>
      <c r="KAG45" s="685"/>
      <c r="KAH45" s="685"/>
      <c r="KAI45" s="685"/>
      <c r="KAJ45" s="685"/>
      <c r="KAK45" s="685"/>
      <c r="KAL45" s="685"/>
      <c r="KAM45" s="685"/>
      <c r="KAN45" s="685"/>
      <c r="KAO45" s="685"/>
      <c r="KAP45" s="685"/>
      <c r="KAQ45" s="685"/>
      <c r="KAR45" s="685"/>
      <c r="KAS45" s="685"/>
      <c r="KAT45" s="685"/>
      <c r="KAU45" s="685"/>
      <c r="KAV45" s="685"/>
      <c r="KAW45" s="685"/>
      <c r="KAX45" s="685"/>
      <c r="KAY45" s="685"/>
      <c r="KAZ45" s="685"/>
      <c r="KBA45" s="685"/>
      <c r="KBB45" s="685"/>
      <c r="KBC45" s="685"/>
      <c r="KBD45" s="685"/>
      <c r="KBE45" s="685"/>
      <c r="KBF45" s="685"/>
      <c r="KBG45" s="685"/>
      <c r="KBH45" s="685"/>
      <c r="KBI45" s="685"/>
      <c r="KBJ45" s="685"/>
      <c r="KBK45" s="685"/>
      <c r="KBL45" s="685"/>
      <c r="KBM45" s="685"/>
      <c r="KBN45" s="685"/>
      <c r="KBO45" s="685"/>
      <c r="KBP45" s="685"/>
      <c r="KBQ45" s="685"/>
      <c r="KBR45" s="685"/>
      <c r="KBS45" s="685"/>
      <c r="KBT45" s="685"/>
      <c r="KBU45" s="685"/>
      <c r="KBV45" s="685"/>
      <c r="KBW45" s="685"/>
      <c r="KBX45" s="685"/>
      <c r="KBY45" s="685"/>
      <c r="KBZ45" s="685"/>
      <c r="KCA45" s="685"/>
      <c r="KCB45" s="685"/>
      <c r="KCC45" s="685"/>
      <c r="KCD45" s="685"/>
      <c r="KCE45" s="685"/>
      <c r="KCF45" s="685"/>
      <c r="KCG45" s="685"/>
      <c r="KCH45" s="685"/>
      <c r="KCI45" s="685"/>
      <c r="KCJ45" s="685"/>
      <c r="KCK45" s="685"/>
      <c r="KCL45" s="685"/>
      <c r="KCM45" s="685"/>
      <c r="KCN45" s="685"/>
      <c r="KCO45" s="685"/>
      <c r="KCP45" s="685"/>
      <c r="KCQ45" s="685"/>
      <c r="KCR45" s="685"/>
      <c r="KCS45" s="685"/>
      <c r="KCT45" s="685"/>
      <c r="KCU45" s="685"/>
      <c r="KCV45" s="685"/>
      <c r="KCW45" s="685"/>
      <c r="KCX45" s="685"/>
      <c r="KCY45" s="685"/>
      <c r="KCZ45" s="685"/>
      <c r="KDA45" s="685"/>
      <c r="KDB45" s="685"/>
      <c r="KDC45" s="685"/>
      <c r="KDD45" s="685"/>
      <c r="KDE45" s="685"/>
      <c r="KDF45" s="685"/>
      <c r="KDG45" s="685"/>
      <c r="KDH45" s="685"/>
      <c r="KDI45" s="685"/>
      <c r="KDJ45" s="685"/>
      <c r="KDK45" s="685"/>
      <c r="KDL45" s="685"/>
      <c r="KDM45" s="685"/>
      <c r="KDN45" s="685"/>
      <c r="KDO45" s="685"/>
      <c r="KDP45" s="685"/>
      <c r="KDQ45" s="685"/>
      <c r="KDR45" s="685"/>
      <c r="KDS45" s="685"/>
      <c r="KDT45" s="685"/>
      <c r="KDU45" s="685"/>
      <c r="KDV45" s="685"/>
      <c r="KDW45" s="685"/>
      <c r="KDX45" s="685"/>
      <c r="KDY45" s="685"/>
      <c r="KDZ45" s="685"/>
      <c r="KEA45" s="685"/>
      <c r="KEB45" s="685"/>
      <c r="KEC45" s="685"/>
      <c r="KED45" s="685"/>
      <c r="KEE45" s="685"/>
      <c r="KEF45" s="685"/>
      <c r="KEG45" s="685"/>
      <c r="KEH45" s="685"/>
      <c r="KEI45" s="685"/>
      <c r="KEJ45" s="685"/>
      <c r="KEK45" s="685"/>
      <c r="KEL45" s="685"/>
      <c r="KEM45" s="685"/>
      <c r="KEN45" s="685"/>
      <c r="KEO45" s="685"/>
      <c r="KEP45" s="685"/>
      <c r="KEQ45" s="685"/>
      <c r="KER45" s="685"/>
      <c r="KES45" s="685"/>
      <c r="KET45" s="685"/>
      <c r="KEU45" s="685"/>
      <c r="KEV45" s="685"/>
      <c r="KEW45" s="685"/>
      <c r="KEX45" s="685"/>
      <c r="KEY45" s="685"/>
      <c r="KEZ45" s="685"/>
      <c r="KFA45" s="685"/>
      <c r="KFB45" s="685"/>
      <c r="KFC45" s="685"/>
      <c r="KFD45" s="685"/>
      <c r="KFE45" s="685"/>
      <c r="KFF45" s="685"/>
      <c r="KFG45" s="685"/>
      <c r="KFH45" s="685"/>
      <c r="KFI45" s="685"/>
      <c r="KFJ45" s="685"/>
      <c r="KFK45" s="685"/>
      <c r="KFL45" s="685"/>
      <c r="KFM45" s="685"/>
      <c r="KFN45" s="685"/>
      <c r="KFO45" s="685"/>
      <c r="KFP45" s="685"/>
      <c r="KFQ45" s="685"/>
      <c r="KFR45" s="685"/>
      <c r="KFS45" s="685"/>
      <c r="KFT45" s="685"/>
      <c r="KFU45" s="685"/>
      <c r="KFV45" s="685"/>
      <c r="KFW45" s="685"/>
      <c r="KFX45" s="685"/>
      <c r="KFY45" s="685"/>
      <c r="KFZ45" s="685"/>
      <c r="KGA45" s="685"/>
      <c r="KGB45" s="685"/>
      <c r="KGC45" s="685"/>
      <c r="KGD45" s="685"/>
      <c r="KGE45" s="685"/>
      <c r="KGF45" s="685"/>
      <c r="KGG45" s="685"/>
      <c r="KGH45" s="685"/>
      <c r="KGI45" s="685"/>
      <c r="KGJ45" s="685"/>
      <c r="KGK45" s="685"/>
      <c r="KGL45" s="685"/>
      <c r="KGM45" s="685"/>
      <c r="KGN45" s="685"/>
      <c r="KGO45" s="685"/>
      <c r="KGP45" s="685"/>
      <c r="KGQ45" s="685"/>
      <c r="KGR45" s="685"/>
      <c r="KGS45" s="685"/>
      <c r="KGT45" s="685"/>
      <c r="KGU45" s="685"/>
      <c r="KGV45" s="685"/>
      <c r="KGW45" s="685"/>
      <c r="KGX45" s="685"/>
      <c r="KGY45" s="685"/>
      <c r="KGZ45" s="685"/>
      <c r="KHA45" s="685"/>
      <c r="KHB45" s="685"/>
      <c r="KHC45" s="685"/>
      <c r="KHD45" s="685"/>
      <c r="KHE45" s="685"/>
      <c r="KHF45" s="685"/>
      <c r="KHG45" s="685"/>
      <c r="KHH45" s="685"/>
      <c r="KHI45" s="685"/>
      <c r="KHJ45" s="685"/>
      <c r="KHK45" s="685"/>
      <c r="KHL45" s="685"/>
      <c r="KHM45" s="685"/>
      <c r="KHN45" s="685"/>
      <c r="KHO45" s="685"/>
      <c r="KHP45" s="685"/>
      <c r="KHQ45" s="685"/>
      <c r="KHR45" s="685"/>
      <c r="KHS45" s="685"/>
      <c r="KHT45" s="685"/>
      <c r="KHU45" s="685"/>
      <c r="KHV45" s="685"/>
      <c r="KHW45" s="685"/>
      <c r="KHX45" s="685"/>
      <c r="KHY45" s="685"/>
      <c r="KHZ45" s="685"/>
      <c r="KIA45" s="685"/>
      <c r="KIB45" s="685"/>
      <c r="KIC45" s="685"/>
      <c r="KID45" s="685"/>
      <c r="KIE45" s="685"/>
      <c r="KIF45" s="685"/>
      <c r="KIG45" s="685"/>
      <c r="KIH45" s="685"/>
      <c r="KII45" s="685"/>
      <c r="KIJ45" s="685"/>
      <c r="KIK45" s="685"/>
      <c r="KIL45" s="685"/>
      <c r="KIM45" s="685"/>
      <c r="KIN45" s="685"/>
      <c r="KIO45" s="685"/>
      <c r="KIP45" s="685"/>
      <c r="KIQ45" s="685"/>
      <c r="KIR45" s="685"/>
      <c r="KIS45" s="685"/>
      <c r="KIT45" s="685"/>
      <c r="KIU45" s="685"/>
      <c r="KIV45" s="685"/>
      <c r="KIW45" s="685"/>
      <c r="KIX45" s="685"/>
      <c r="KIY45" s="685"/>
      <c r="KIZ45" s="685"/>
      <c r="KJA45" s="685"/>
      <c r="KJB45" s="685"/>
      <c r="KJC45" s="685"/>
      <c r="KJD45" s="685"/>
      <c r="KJE45" s="685"/>
      <c r="KJF45" s="685"/>
      <c r="KJG45" s="685"/>
      <c r="KJH45" s="685"/>
      <c r="KJI45" s="685"/>
      <c r="KJJ45" s="685"/>
      <c r="KJK45" s="685"/>
      <c r="KJL45" s="685"/>
      <c r="KJM45" s="685"/>
      <c r="KJN45" s="685"/>
      <c r="KJO45" s="685"/>
      <c r="KJP45" s="685"/>
      <c r="KJQ45" s="685"/>
      <c r="KJR45" s="685"/>
      <c r="KJS45" s="685"/>
      <c r="KJT45" s="685"/>
      <c r="KJU45" s="685"/>
      <c r="KJV45" s="685"/>
      <c r="KJW45" s="685"/>
      <c r="KJX45" s="685"/>
      <c r="KJY45" s="685"/>
      <c r="KJZ45" s="685"/>
      <c r="KKA45" s="685"/>
      <c r="KKB45" s="685"/>
      <c r="KKC45" s="685"/>
      <c r="KKD45" s="685"/>
      <c r="KKE45" s="685"/>
      <c r="KKF45" s="685"/>
      <c r="KKG45" s="685"/>
      <c r="KKH45" s="685"/>
      <c r="KKI45" s="685"/>
      <c r="KKJ45" s="685"/>
      <c r="KKK45" s="685"/>
      <c r="KKL45" s="685"/>
      <c r="KKM45" s="685"/>
      <c r="KKN45" s="685"/>
      <c r="KKO45" s="685"/>
      <c r="KKP45" s="685"/>
      <c r="KKQ45" s="685"/>
      <c r="KKR45" s="685"/>
      <c r="KKS45" s="685"/>
      <c r="KKT45" s="685"/>
      <c r="KKU45" s="685"/>
      <c r="KKV45" s="685"/>
      <c r="KKW45" s="685"/>
      <c r="KKX45" s="685"/>
      <c r="KKY45" s="685"/>
      <c r="KKZ45" s="685"/>
      <c r="KLA45" s="685"/>
      <c r="KLB45" s="685"/>
      <c r="KLC45" s="685"/>
      <c r="KLD45" s="685"/>
      <c r="KLE45" s="685"/>
      <c r="KLF45" s="685"/>
      <c r="KLG45" s="685"/>
      <c r="KLH45" s="685"/>
      <c r="KLI45" s="685"/>
      <c r="KLJ45" s="685"/>
      <c r="KLK45" s="685"/>
      <c r="KLL45" s="685"/>
      <c r="KLM45" s="685"/>
      <c r="KLN45" s="685"/>
      <c r="KLO45" s="685"/>
      <c r="KLP45" s="685"/>
      <c r="KLQ45" s="685"/>
      <c r="KLR45" s="685"/>
      <c r="KLS45" s="685"/>
      <c r="KLT45" s="685"/>
      <c r="KLU45" s="685"/>
      <c r="KLV45" s="685"/>
      <c r="KLW45" s="685"/>
      <c r="KLX45" s="685"/>
      <c r="KLY45" s="685"/>
      <c r="KLZ45" s="685"/>
      <c r="KMA45" s="685"/>
      <c r="KMB45" s="685"/>
      <c r="KMC45" s="685"/>
      <c r="KMD45" s="685"/>
      <c r="KME45" s="685"/>
      <c r="KMF45" s="685"/>
      <c r="KMG45" s="685"/>
      <c r="KMH45" s="685"/>
      <c r="KMI45" s="685"/>
      <c r="KMJ45" s="685"/>
      <c r="KMK45" s="685"/>
      <c r="KML45" s="685"/>
      <c r="KMM45" s="685"/>
      <c r="KMN45" s="685"/>
      <c r="KMO45" s="685"/>
      <c r="KMP45" s="685"/>
      <c r="KMQ45" s="685"/>
      <c r="KMR45" s="685"/>
      <c r="KMS45" s="685"/>
      <c r="KMT45" s="685"/>
      <c r="KMU45" s="685"/>
      <c r="KMV45" s="685"/>
      <c r="KMW45" s="685"/>
      <c r="KMX45" s="685"/>
      <c r="KMY45" s="685"/>
      <c r="KMZ45" s="685"/>
      <c r="KNA45" s="685"/>
      <c r="KNB45" s="685"/>
      <c r="KNC45" s="685"/>
      <c r="KND45" s="685"/>
      <c r="KNE45" s="685"/>
      <c r="KNF45" s="685"/>
      <c r="KNG45" s="685"/>
      <c r="KNH45" s="685"/>
      <c r="KNI45" s="685"/>
      <c r="KNJ45" s="685"/>
      <c r="KNK45" s="685"/>
      <c r="KNL45" s="685"/>
      <c r="KNM45" s="685"/>
      <c r="KNN45" s="685"/>
      <c r="KNO45" s="685"/>
      <c r="KNP45" s="685"/>
      <c r="KNQ45" s="685"/>
      <c r="KNR45" s="685"/>
      <c r="KNS45" s="685"/>
      <c r="KNT45" s="685"/>
      <c r="KNU45" s="685"/>
      <c r="KNV45" s="685"/>
      <c r="KNW45" s="685"/>
      <c r="KNX45" s="685"/>
      <c r="KNY45" s="685"/>
      <c r="KNZ45" s="685"/>
      <c r="KOA45" s="685"/>
      <c r="KOB45" s="685"/>
      <c r="KOC45" s="685"/>
      <c r="KOD45" s="685"/>
      <c r="KOE45" s="685"/>
      <c r="KOF45" s="685"/>
      <c r="KOG45" s="685"/>
      <c r="KOH45" s="685"/>
      <c r="KOI45" s="685"/>
      <c r="KOJ45" s="685"/>
      <c r="KOK45" s="685"/>
      <c r="KOL45" s="685"/>
      <c r="KOM45" s="685"/>
      <c r="KON45" s="685"/>
      <c r="KOO45" s="685"/>
      <c r="KOP45" s="685"/>
      <c r="KOQ45" s="685"/>
      <c r="KOR45" s="685"/>
      <c r="KOS45" s="685"/>
      <c r="KOT45" s="685"/>
      <c r="KOU45" s="685"/>
      <c r="KOV45" s="685"/>
      <c r="KOW45" s="685"/>
      <c r="KOX45" s="685"/>
      <c r="KOY45" s="685"/>
      <c r="KOZ45" s="685"/>
      <c r="KPA45" s="685"/>
      <c r="KPB45" s="685"/>
      <c r="KPC45" s="685"/>
      <c r="KPD45" s="685"/>
      <c r="KPE45" s="685"/>
      <c r="KPF45" s="685"/>
      <c r="KPG45" s="685"/>
      <c r="KPH45" s="685"/>
      <c r="KPI45" s="685"/>
      <c r="KPJ45" s="685"/>
      <c r="KPK45" s="685"/>
      <c r="KPL45" s="685"/>
      <c r="KPM45" s="685"/>
      <c r="KPN45" s="685"/>
      <c r="KPO45" s="685"/>
      <c r="KPP45" s="685"/>
      <c r="KPQ45" s="685"/>
      <c r="KPR45" s="685"/>
      <c r="KPS45" s="685"/>
      <c r="KPT45" s="685"/>
      <c r="KPU45" s="685"/>
      <c r="KPV45" s="685"/>
      <c r="KPW45" s="685"/>
      <c r="KPX45" s="685"/>
      <c r="KPY45" s="685"/>
      <c r="KPZ45" s="685"/>
      <c r="KQA45" s="685"/>
      <c r="KQB45" s="685"/>
      <c r="KQC45" s="685"/>
      <c r="KQD45" s="685"/>
      <c r="KQE45" s="685"/>
      <c r="KQF45" s="685"/>
      <c r="KQG45" s="685"/>
      <c r="KQH45" s="685"/>
      <c r="KQI45" s="685"/>
      <c r="KQJ45" s="685"/>
      <c r="KQK45" s="685"/>
      <c r="KQL45" s="685"/>
      <c r="KQM45" s="685"/>
      <c r="KQN45" s="685"/>
      <c r="KQO45" s="685"/>
      <c r="KQP45" s="685"/>
      <c r="KQQ45" s="685"/>
      <c r="KQR45" s="685"/>
      <c r="KQS45" s="685"/>
      <c r="KQT45" s="685"/>
      <c r="KQU45" s="685"/>
      <c r="KQV45" s="685"/>
      <c r="KQW45" s="685"/>
      <c r="KQX45" s="685"/>
      <c r="KQY45" s="685"/>
      <c r="KQZ45" s="685"/>
      <c r="KRA45" s="685"/>
      <c r="KRB45" s="685"/>
      <c r="KRC45" s="685"/>
      <c r="KRD45" s="685"/>
      <c r="KRE45" s="685"/>
      <c r="KRF45" s="685"/>
      <c r="KRG45" s="685"/>
      <c r="KRH45" s="685"/>
      <c r="KRI45" s="685"/>
      <c r="KRJ45" s="685"/>
      <c r="KRK45" s="685"/>
      <c r="KRL45" s="685"/>
      <c r="KRM45" s="685"/>
      <c r="KRN45" s="685"/>
      <c r="KRO45" s="685"/>
      <c r="KRP45" s="685"/>
      <c r="KRQ45" s="685"/>
      <c r="KRR45" s="685"/>
      <c r="KRS45" s="685"/>
      <c r="KRT45" s="685"/>
      <c r="KRU45" s="685"/>
      <c r="KRV45" s="685"/>
      <c r="KRW45" s="685"/>
      <c r="KRX45" s="685"/>
      <c r="KRY45" s="685"/>
      <c r="KRZ45" s="685"/>
      <c r="KSA45" s="685"/>
      <c r="KSB45" s="685"/>
      <c r="KSC45" s="685"/>
      <c r="KSD45" s="685"/>
      <c r="KSE45" s="685"/>
      <c r="KSF45" s="685"/>
      <c r="KSG45" s="685"/>
      <c r="KSH45" s="685"/>
      <c r="KSI45" s="685"/>
      <c r="KSJ45" s="685"/>
      <c r="KSK45" s="685"/>
      <c r="KSL45" s="685"/>
      <c r="KSM45" s="685"/>
      <c r="KSN45" s="685"/>
      <c r="KSO45" s="685"/>
      <c r="KSP45" s="685"/>
      <c r="KSQ45" s="685"/>
      <c r="KSR45" s="685"/>
      <c r="KSS45" s="685"/>
      <c r="KST45" s="685"/>
      <c r="KSU45" s="685"/>
      <c r="KSV45" s="685"/>
      <c r="KSW45" s="685"/>
      <c r="KSX45" s="685"/>
      <c r="KSY45" s="685"/>
      <c r="KSZ45" s="685"/>
      <c r="KTA45" s="685"/>
      <c r="KTB45" s="685"/>
      <c r="KTC45" s="685"/>
      <c r="KTD45" s="685"/>
      <c r="KTE45" s="685"/>
      <c r="KTF45" s="685"/>
      <c r="KTG45" s="685"/>
      <c r="KTH45" s="685"/>
      <c r="KTI45" s="685"/>
      <c r="KTJ45" s="685"/>
      <c r="KTK45" s="685"/>
      <c r="KTL45" s="685"/>
      <c r="KTM45" s="685"/>
      <c r="KTN45" s="685"/>
      <c r="KTO45" s="685"/>
      <c r="KTP45" s="685"/>
      <c r="KTQ45" s="685"/>
      <c r="KTR45" s="685"/>
      <c r="KTS45" s="685"/>
      <c r="KTT45" s="685"/>
      <c r="KTU45" s="685"/>
      <c r="KTV45" s="685"/>
      <c r="KTW45" s="685"/>
      <c r="KTX45" s="685"/>
      <c r="KTY45" s="685"/>
      <c r="KTZ45" s="685"/>
      <c r="KUA45" s="685"/>
      <c r="KUB45" s="685"/>
      <c r="KUC45" s="685"/>
      <c r="KUD45" s="685"/>
      <c r="KUE45" s="685"/>
      <c r="KUF45" s="685"/>
      <c r="KUG45" s="685"/>
      <c r="KUH45" s="685"/>
      <c r="KUI45" s="685"/>
      <c r="KUJ45" s="685"/>
      <c r="KUK45" s="685"/>
      <c r="KUL45" s="685"/>
      <c r="KUM45" s="685"/>
      <c r="KUN45" s="685"/>
      <c r="KUO45" s="685"/>
      <c r="KUP45" s="685"/>
      <c r="KUQ45" s="685"/>
      <c r="KUR45" s="685"/>
      <c r="KUS45" s="685"/>
      <c r="KUT45" s="685"/>
      <c r="KUU45" s="685"/>
      <c r="KUV45" s="685"/>
      <c r="KUW45" s="685"/>
      <c r="KUX45" s="685"/>
      <c r="KUY45" s="685"/>
      <c r="KUZ45" s="685"/>
      <c r="KVA45" s="685"/>
      <c r="KVB45" s="685"/>
      <c r="KVC45" s="685"/>
      <c r="KVD45" s="685"/>
      <c r="KVE45" s="685"/>
      <c r="KVF45" s="685"/>
      <c r="KVG45" s="685"/>
      <c r="KVH45" s="685"/>
      <c r="KVI45" s="685"/>
      <c r="KVJ45" s="685"/>
      <c r="KVK45" s="685"/>
      <c r="KVL45" s="685"/>
      <c r="KVM45" s="685"/>
      <c r="KVN45" s="685"/>
      <c r="KVO45" s="685"/>
      <c r="KVP45" s="685"/>
      <c r="KVQ45" s="685"/>
      <c r="KVR45" s="685"/>
      <c r="KVS45" s="685"/>
      <c r="KVT45" s="685"/>
      <c r="KVU45" s="685"/>
      <c r="KVV45" s="685"/>
      <c r="KVW45" s="685"/>
      <c r="KVX45" s="685"/>
      <c r="KVY45" s="685"/>
      <c r="KVZ45" s="685"/>
      <c r="KWA45" s="685"/>
      <c r="KWB45" s="685"/>
      <c r="KWC45" s="685"/>
      <c r="KWD45" s="685"/>
      <c r="KWE45" s="685"/>
      <c r="KWF45" s="685"/>
      <c r="KWG45" s="685"/>
      <c r="KWH45" s="685"/>
      <c r="KWI45" s="685"/>
      <c r="KWJ45" s="685"/>
      <c r="KWK45" s="685"/>
      <c r="KWL45" s="685"/>
      <c r="KWM45" s="685"/>
      <c r="KWN45" s="685"/>
      <c r="KWO45" s="685"/>
      <c r="KWP45" s="685"/>
      <c r="KWQ45" s="685"/>
      <c r="KWR45" s="685"/>
      <c r="KWS45" s="685"/>
      <c r="KWT45" s="685"/>
      <c r="KWU45" s="685"/>
      <c r="KWV45" s="685"/>
      <c r="KWW45" s="685"/>
      <c r="KWX45" s="685"/>
      <c r="KWY45" s="685"/>
      <c r="KWZ45" s="685"/>
      <c r="KXA45" s="685"/>
      <c r="KXB45" s="685"/>
      <c r="KXC45" s="685"/>
      <c r="KXD45" s="685"/>
      <c r="KXE45" s="685"/>
      <c r="KXF45" s="685"/>
      <c r="KXG45" s="685"/>
      <c r="KXH45" s="685"/>
      <c r="KXI45" s="685"/>
      <c r="KXJ45" s="685"/>
      <c r="KXK45" s="685"/>
      <c r="KXL45" s="685"/>
      <c r="KXM45" s="685"/>
      <c r="KXN45" s="685"/>
      <c r="KXO45" s="685"/>
      <c r="KXP45" s="685"/>
      <c r="KXQ45" s="685"/>
      <c r="KXR45" s="685"/>
      <c r="KXS45" s="685"/>
      <c r="KXT45" s="685"/>
      <c r="KXU45" s="685"/>
      <c r="KXV45" s="685"/>
      <c r="KXW45" s="685"/>
      <c r="KXX45" s="685"/>
      <c r="KXY45" s="685"/>
      <c r="KXZ45" s="685"/>
      <c r="KYA45" s="685"/>
      <c r="KYB45" s="685"/>
      <c r="KYC45" s="685"/>
      <c r="KYD45" s="685"/>
      <c r="KYE45" s="685"/>
      <c r="KYF45" s="685"/>
      <c r="KYG45" s="685"/>
      <c r="KYH45" s="685"/>
      <c r="KYI45" s="685"/>
      <c r="KYJ45" s="685"/>
      <c r="KYK45" s="685"/>
      <c r="KYL45" s="685"/>
      <c r="KYM45" s="685"/>
      <c r="KYN45" s="685"/>
      <c r="KYO45" s="685"/>
      <c r="KYP45" s="685"/>
      <c r="KYQ45" s="685"/>
      <c r="KYR45" s="685"/>
      <c r="KYS45" s="685"/>
      <c r="KYT45" s="685"/>
      <c r="KYU45" s="685"/>
      <c r="KYV45" s="685"/>
      <c r="KYW45" s="685"/>
      <c r="KYX45" s="685"/>
      <c r="KYY45" s="685"/>
      <c r="KYZ45" s="685"/>
      <c r="KZA45" s="685"/>
      <c r="KZB45" s="685"/>
      <c r="KZC45" s="685"/>
      <c r="KZD45" s="685"/>
      <c r="KZE45" s="685"/>
      <c r="KZF45" s="685"/>
      <c r="KZG45" s="685"/>
      <c r="KZH45" s="685"/>
      <c r="KZI45" s="685"/>
      <c r="KZJ45" s="685"/>
      <c r="KZK45" s="685"/>
      <c r="KZL45" s="685"/>
      <c r="KZM45" s="685"/>
      <c r="KZN45" s="685"/>
      <c r="KZO45" s="685"/>
      <c r="KZP45" s="685"/>
      <c r="KZQ45" s="685"/>
      <c r="KZR45" s="685"/>
      <c r="KZS45" s="685"/>
      <c r="KZT45" s="685"/>
      <c r="KZU45" s="685"/>
      <c r="KZV45" s="685"/>
      <c r="KZW45" s="685"/>
      <c r="KZX45" s="685"/>
      <c r="KZY45" s="685"/>
      <c r="KZZ45" s="685"/>
      <c r="LAA45" s="685"/>
      <c r="LAB45" s="685"/>
      <c r="LAC45" s="685"/>
      <c r="LAD45" s="685"/>
      <c r="LAE45" s="685"/>
      <c r="LAF45" s="685"/>
      <c r="LAG45" s="685"/>
      <c r="LAH45" s="685"/>
      <c r="LAI45" s="685"/>
      <c r="LAJ45" s="685"/>
      <c r="LAK45" s="685"/>
      <c r="LAL45" s="685"/>
      <c r="LAM45" s="685"/>
      <c r="LAN45" s="685"/>
      <c r="LAO45" s="685"/>
      <c r="LAP45" s="685"/>
      <c r="LAQ45" s="685"/>
      <c r="LAR45" s="685"/>
      <c r="LAS45" s="685"/>
      <c r="LAT45" s="685"/>
      <c r="LAU45" s="685"/>
      <c r="LAV45" s="685"/>
      <c r="LAW45" s="685"/>
      <c r="LAX45" s="685"/>
      <c r="LAY45" s="685"/>
      <c r="LAZ45" s="685"/>
      <c r="LBA45" s="685"/>
      <c r="LBB45" s="685"/>
      <c r="LBC45" s="685"/>
      <c r="LBD45" s="685"/>
      <c r="LBE45" s="685"/>
      <c r="LBF45" s="685"/>
      <c r="LBG45" s="685"/>
      <c r="LBH45" s="685"/>
      <c r="LBI45" s="685"/>
      <c r="LBJ45" s="685"/>
      <c r="LBK45" s="685"/>
      <c r="LBL45" s="685"/>
      <c r="LBM45" s="685"/>
      <c r="LBN45" s="685"/>
      <c r="LBO45" s="685"/>
      <c r="LBP45" s="685"/>
      <c r="LBQ45" s="685"/>
      <c r="LBR45" s="685"/>
      <c r="LBS45" s="685"/>
      <c r="LBT45" s="685"/>
      <c r="LBU45" s="685"/>
      <c r="LBV45" s="685"/>
      <c r="LBW45" s="685"/>
      <c r="LBX45" s="685"/>
      <c r="LBY45" s="685"/>
      <c r="LBZ45" s="685"/>
      <c r="LCA45" s="685"/>
      <c r="LCB45" s="685"/>
      <c r="LCC45" s="685"/>
      <c r="LCD45" s="685"/>
      <c r="LCE45" s="685"/>
      <c r="LCF45" s="685"/>
      <c r="LCG45" s="685"/>
      <c r="LCH45" s="685"/>
      <c r="LCI45" s="685"/>
      <c r="LCJ45" s="685"/>
      <c r="LCK45" s="685"/>
      <c r="LCL45" s="685"/>
      <c r="LCM45" s="685"/>
      <c r="LCN45" s="685"/>
      <c r="LCO45" s="685"/>
      <c r="LCP45" s="685"/>
      <c r="LCQ45" s="685"/>
      <c r="LCR45" s="685"/>
      <c r="LCS45" s="685"/>
      <c r="LCT45" s="685"/>
      <c r="LCU45" s="685"/>
      <c r="LCV45" s="685"/>
      <c r="LCW45" s="685"/>
      <c r="LCX45" s="685"/>
      <c r="LCY45" s="685"/>
      <c r="LCZ45" s="685"/>
      <c r="LDA45" s="685"/>
      <c r="LDB45" s="685"/>
      <c r="LDC45" s="685"/>
      <c r="LDD45" s="685"/>
      <c r="LDE45" s="685"/>
      <c r="LDF45" s="685"/>
      <c r="LDG45" s="685"/>
      <c r="LDH45" s="685"/>
      <c r="LDI45" s="685"/>
      <c r="LDJ45" s="685"/>
      <c r="LDK45" s="685"/>
      <c r="LDL45" s="685"/>
      <c r="LDM45" s="685"/>
      <c r="LDN45" s="685"/>
      <c r="LDO45" s="685"/>
      <c r="LDP45" s="685"/>
      <c r="LDQ45" s="685"/>
      <c r="LDR45" s="685"/>
      <c r="LDS45" s="685"/>
      <c r="LDT45" s="685"/>
      <c r="LDU45" s="685"/>
      <c r="LDV45" s="685"/>
      <c r="LDW45" s="685"/>
      <c r="LDX45" s="685"/>
      <c r="LDY45" s="685"/>
      <c r="LDZ45" s="685"/>
      <c r="LEA45" s="685"/>
      <c r="LEB45" s="685"/>
      <c r="LEC45" s="685"/>
      <c r="LED45" s="685"/>
      <c r="LEE45" s="685"/>
      <c r="LEF45" s="685"/>
      <c r="LEG45" s="685"/>
      <c r="LEH45" s="685"/>
      <c r="LEI45" s="685"/>
      <c r="LEJ45" s="685"/>
      <c r="LEK45" s="685"/>
      <c r="LEL45" s="685"/>
      <c r="LEM45" s="685"/>
      <c r="LEN45" s="685"/>
      <c r="LEO45" s="685"/>
      <c r="LEP45" s="685"/>
      <c r="LEQ45" s="685"/>
      <c r="LER45" s="685"/>
      <c r="LES45" s="685"/>
      <c r="LET45" s="685"/>
      <c r="LEU45" s="685"/>
      <c r="LEV45" s="685"/>
      <c r="LEW45" s="685"/>
      <c r="LEX45" s="685"/>
      <c r="LEY45" s="685"/>
      <c r="LEZ45" s="685"/>
      <c r="LFA45" s="685"/>
      <c r="LFB45" s="685"/>
      <c r="LFC45" s="685"/>
      <c r="LFD45" s="685"/>
      <c r="LFE45" s="685"/>
      <c r="LFF45" s="685"/>
      <c r="LFG45" s="685"/>
      <c r="LFH45" s="685"/>
      <c r="LFI45" s="685"/>
      <c r="LFJ45" s="685"/>
      <c r="LFK45" s="685"/>
      <c r="LFL45" s="685"/>
      <c r="LFM45" s="685"/>
      <c r="LFN45" s="685"/>
      <c r="LFO45" s="685"/>
      <c r="LFP45" s="685"/>
      <c r="LFQ45" s="685"/>
      <c r="LFR45" s="685"/>
      <c r="LFS45" s="685"/>
      <c r="LFT45" s="685"/>
      <c r="LFU45" s="685"/>
      <c r="LFV45" s="685"/>
      <c r="LFW45" s="685"/>
      <c r="LFX45" s="685"/>
      <c r="LFY45" s="685"/>
      <c r="LFZ45" s="685"/>
      <c r="LGA45" s="685"/>
      <c r="LGB45" s="685"/>
      <c r="LGC45" s="685"/>
      <c r="LGD45" s="685"/>
      <c r="LGE45" s="685"/>
      <c r="LGF45" s="685"/>
      <c r="LGG45" s="685"/>
      <c r="LGH45" s="685"/>
      <c r="LGI45" s="685"/>
      <c r="LGJ45" s="685"/>
      <c r="LGK45" s="685"/>
      <c r="LGL45" s="685"/>
      <c r="LGM45" s="685"/>
      <c r="LGN45" s="685"/>
      <c r="LGO45" s="685"/>
      <c r="LGP45" s="685"/>
      <c r="LGQ45" s="685"/>
      <c r="LGR45" s="685"/>
      <c r="LGS45" s="685"/>
      <c r="LGT45" s="685"/>
      <c r="LGU45" s="685"/>
      <c r="LGV45" s="685"/>
      <c r="LGW45" s="685"/>
      <c r="LGX45" s="685"/>
      <c r="LGY45" s="685"/>
      <c r="LGZ45" s="685"/>
      <c r="LHA45" s="685"/>
      <c r="LHB45" s="685"/>
      <c r="LHC45" s="685"/>
      <c r="LHD45" s="685"/>
      <c r="LHE45" s="685"/>
      <c r="LHF45" s="685"/>
      <c r="LHG45" s="685"/>
      <c r="LHH45" s="685"/>
      <c r="LHI45" s="685"/>
      <c r="LHJ45" s="685"/>
      <c r="LHK45" s="685"/>
      <c r="LHL45" s="685"/>
      <c r="LHM45" s="685"/>
      <c r="LHN45" s="685"/>
      <c r="LHO45" s="685"/>
      <c r="LHP45" s="685"/>
      <c r="LHQ45" s="685"/>
      <c r="LHR45" s="685"/>
      <c r="LHS45" s="685"/>
      <c r="LHT45" s="685"/>
      <c r="LHU45" s="685"/>
      <c r="LHV45" s="685"/>
      <c r="LHW45" s="685"/>
      <c r="LHX45" s="685"/>
      <c r="LHY45" s="685"/>
      <c r="LHZ45" s="685"/>
      <c r="LIA45" s="685"/>
      <c r="LIB45" s="685"/>
      <c r="LIC45" s="685"/>
      <c r="LID45" s="685"/>
      <c r="LIE45" s="685"/>
      <c r="LIF45" s="685"/>
      <c r="LIG45" s="685"/>
      <c r="LIH45" s="685"/>
      <c r="LII45" s="685"/>
      <c r="LIJ45" s="685"/>
      <c r="LIK45" s="685"/>
      <c r="LIL45" s="685"/>
      <c r="LIM45" s="685"/>
      <c r="LIN45" s="685"/>
      <c r="LIO45" s="685"/>
      <c r="LIP45" s="685"/>
      <c r="LIQ45" s="685"/>
      <c r="LIR45" s="685"/>
      <c r="LIS45" s="685"/>
      <c r="LIT45" s="685"/>
      <c r="LIU45" s="685"/>
      <c r="LIV45" s="685"/>
      <c r="LIW45" s="685"/>
      <c r="LIX45" s="685"/>
      <c r="LIY45" s="685"/>
      <c r="LIZ45" s="685"/>
      <c r="LJA45" s="685"/>
      <c r="LJB45" s="685"/>
      <c r="LJC45" s="685"/>
      <c r="LJD45" s="685"/>
      <c r="LJE45" s="685"/>
      <c r="LJF45" s="685"/>
      <c r="LJG45" s="685"/>
      <c r="LJH45" s="685"/>
      <c r="LJI45" s="685"/>
      <c r="LJJ45" s="685"/>
      <c r="LJK45" s="685"/>
      <c r="LJL45" s="685"/>
      <c r="LJM45" s="685"/>
      <c r="LJN45" s="685"/>
      <c r="LJO45" s="685"/>
      <c r="LJP45" s="685"/>
      <c r="LJQ45" s="685"/>
      <c r="LJR45" s="685"/>
      <c r="LJS45" s="685"/>
      <c r="LJT45" s="685"/>
      <c r="LJU45" s="685"/>
      <c r="LJV45" s="685"/>
      <c r="LJW45" s="685"/>
      <c r="LJX45" s="685"/>
      <c r="LJY45" s="685"/>
      <c r="LJZ45" s="685"/>
      <c r="LKA45" s="685"/>
      <c r="LKB45" s="685"/>
      <c r="LKC45" s="685"/>
      <c r="LKD45" s="685"/>
      <c r="LKE45" s="685"/>
      <c r="LKF45" s="685"/>
      <c r="LKG45" s="685"/>
      <c r="LKH45" s="685"/>
      <c r="LKI45" s="685"/>
      <c r="LKJ45" s="685"/>
      <c r="LKK45" s="685"/>
      <c r="LKL45" s="685"/>
      <c r="LKM45" s="685"/>
      <c r="LKN45" s="685"/>
      <c r="LKO45" s="685"/>
      <c r="LKP45" s="685"/>
      <c r="LKQ45" s="685"/>
      <c r="LKR45" s="685"/>
      <c r="LKS45" s="685"/>
      <c r="LKT45" s="685"/>
      <c r="LKU45" s="685"/>
      <c r="LKV45" s="685"/>
      <c r="LKW45" s="685"/>
      <c r="LKX45" s="685"/>
      <c r="LKY45" s="685"/>
      <c r="LKZ45" s="685"/>
      <c r="LLA45" s="685"/>
      <c r="LLB45" s="685"/>
      <c r="LLC45" s="685"/>
      <c r="LLD45" s="685"/>
      <c r="LLE45" s="685"/>
      <c r="LLF45" s="685"/>
      <c r="LLG45" s="685"/>
      <c r="LLH45" s="685"/>
      <c r="LLI45" s="685"/>
      <c r="LLJ45" s="685"/>
      <c r="LLK45" s="685"/>
      <c r="LLL45" s="685"/>
      <c r="LLM45" s="685"/>
      <c r="LLN45" s="685"/>
      <c r="LLO45" s="685"/>
      <c r="LLP45" s="685"/>
      <c r="LLQ45" s="685"/>
      <c r="LLR45" s="685"/>
      <c r="LLS45" s="685"/>
      <c r="LLT45" s="685"/>
      <c r="LLU45" s="685"/>
      <c r="LLV45" s="685"/>
      <c r="LLW45" s="685"/>
      <c r="LLX45" s="685"/>
      <c r="LLY45" s="685"/>
      <c r="LLZ45" s="685"/>
      <c r="LMA45" s="685"/>
      <c r="LMB45" s="685"/>
      <c r="LMC45" s="685"/>
      <c r="LMD45" s="685"/>
      <c r="LME45" s="685"/>
      <c r="LMF45" s="685"/>
      <c r="LMG45" s="685"/>
      <c r="LMH45" s="685"/>
      <c r="LMI45" s="685"/>
      <c r="LMJ45" s="685"/>
      <c r="LMK45" s="685"/>
      <c r="LML45" s="685"/>
      <c r="LMM45" s="685"/>
      <c r="LMN45" s="685"/>
      <c r="LMO45" s="685"/>
      <c r="LMP45" s="685"/>
      <c r="LMQ45" s="685"/>
      <c r="LMR45" s="685"/>
      <c r="LMS45" s="685"/>
      <c r="LMT45" s="685"/>
      <c r="LMU45" s="685"/>
      <c r="LMV45" s="685"/>
      <c r="LMW45" s="685"/>
      <c r="LMX45" s="685"/>
      <c r="LMY45" s="685"/>
      <c r="LMZ45" s="685"/>
      <c r="LNA45" s="685"/>
      <c r="LNB45" s="685"/>
      <c r="LNC45" s="685"/>
      <c r="LND45" s="685"/>
      <c r="LNE45" s="685"/>
      <c r="LNF45" s="685"/>
      <c r="LNG45" s="685"/>
      <c r="LNH45" s="685"/>
      <c r="LNI45" s="685"/>
      <c r="LNJ45" s="685"/>
      <c r="LNK45" s="685"/>
      <c r="LNL45" s="685"/>
      <c r="LNM45" s="685"/>
      <c r="LNN45" s="685"/>
      <c r="LNO45" s="685"/>
      <c r="LNP45" s="685"/>
      <c r="LNQ45" s="685"/>
      <c r="LNR45" s="685"/>
      <c r="LNS45" s="685"/>
      <c r="LNT45" s="685"/>
      <c r="LNU45" s="685"/>
      <c r="LNV45" s="685"/>
      <c r="LNW45" s="685"/>
      <c r="LNX45" s="685"/>
      <c r="LNY45" s="685"/>
      <c r="LNZ45" s="685"/>
      <c r="LOA45" s="685"/>
      <c r="LOB45" s="685"/>
      <c r="LOC45" s="685"/>
      <c r="LOD45" s="685"/>
      <c r="LOE45" s="685"/>
      <c r="LOF45" s="685"/>
      <c r="LOG45" s="685"/>
      <c r="LOH45" s="685"/>
      <c r="LOI45" s="685"/>
      <c r="LOJ45" s="685"/>
      <c r="LOK45" s="685"/>
      <c r="LOL45" s="685"/>
      <c r="LOM45" s="685"/>
      <c r="LON45" s="685"/>
      <c r="LOO45" s="685"/>
      <c r="LOP45" s="685"/>
      <c r="LOQ45" s="685"/>
      <c r="LOR45" s="685"/>
      <c r="LOS45" s="685"/>
      <c r="LOT45" s="685"/>
      <c r="LOU45" s="685"/>
      <c r="LOV45" s="685"/>
      <c r="LOW45" s="685"/>
      <c r="LOX45" s="685"/>
      <c r="LOY45" s="685"/>
      <c r="LOZ45" s="685"/>
      <c r="LPA45" s="685"/>
      <c r="LPB45" s="685"/>
      <c r="LPC45" s="685"/>
      <c r="LPD45" s="685"/>
      <c r="LPE45" s="685"/>
      <c r="LPF45" s="685"/>
      <c r="LPG45" s="685"/>
      <c r="LPH45" s="685"/>
      <c r="LPI45" s="685"/>
      <c r="LPJ45" s="685"/>
      <c r="LPK45" s="685"/>
      <c r="LPL45" s="685"/>
      <c r="LPM45" s="685"/>
      <c r="LPN45" s="685"/>
      <c r="LPO45" s="685"/>
      <c r="LPP45" s="685"/>
      <c r="LPQ45" s="685"/>
      <c r="LPR45" s="685"/>
      <c r="LPS45" s="685"/>
      <c r="LPT45" s="685"/>
      <c r="LPU45" s="685"/>
      <c r="LPV45" s="685"/>
      <c r="LPW45" s="685"/>
      <c r="LPX45" s="685"/>
      <c r="LPY45" s="685"/>
      <c r="LPZ45" s="685"/>
      <c r="LQA45" s="685"/>
      <c r="LQB45" s="685"/>
      <c r="LQC45" s="685"/>
      <c r="LQD45" s="685"/>
      <c r="LQE45" s="685"/>
      <c r="LQF45" s="685"/>
      <c r="LQG45" s="685"/>
      <c r="LQH45" s="685"/>
      <c r="LQI45" s="685"/>
      <c r="LQJ45" s="685"/>
      <c r="LQK45" s="685"/>
      <c r="LQL45" s="685"/>
      <c r="LQM45" s="685"/>
      <c r="LQN45" s="685"/>
      <c r="LQO45" s="685"/>
      <c r="LQP45" s="685"/>
      <c r="LQQ45" s="685"/>
      <c r="LQR45" s="685"/>
      <c r="LQS45" s="685"/>
      <c r="LQT45" s="685"/>
      <c r="LQU45" s="685"/>
      <c r="LQV45" s="685"/>
      <c r="LQW45" s="685"/>
      <c r="LQX45" s="685"/>
      <c r="LQY45" s="685"/>
      <c r="LQZ45" s="685"/>
      <c r="LRA45" s="685"/>
      <c r="LRB45" s="685"/>
      <c r="LRC45" s="685"/>
      <c r="LRD45" s="685"/>
      <c r="LRE45" s="685"/>
      <c r="LRF45" s="685"/>
      <c r="LRG45" s="685"/>
      <c r="LRH45" s="685"/>
      <c r="LRI45" s="685"/>
      <c r="LRJ45" s="685"/>
      <c r="LRK45" s="685"/>
      <c r="LRL45" s="685"/>
      <c r="LRM45" s="685"/>
      <c r="LRN45" s="685"/>
      <c r="LRO45" s="685"/>
      <c r="LRP45" s="685"/>
      <c r="LRQ45" s="685"/>
      <c r="LRR45" s="685"/>
      <c r="LRS45" s="685"/>
      <c r="LRT45" s="685"/>
      <c r="LRU45" s="685"/>
      <c r="LRV45" s="685"/>
      <c r="LRW45" s="685"/>
      <c r="LRX45" s="685"/>
      <c r="LRY45" s="685"/>
      <c r="LRZ45" s="685"/>
      <c r="LSA45" s="685"/>
      <c r="LSB45" s="685"/>
      <c r="LSC45" s="685"/>
      <c r="LSD45" s="685"/>
      <c r="LSE45" s="685"/>
      <c r="LSF45" s="685"/>
      <c r="LSG45" s="685"/>
      <c r="LSH45" s="685"/>
      <c r="LSI45" s="685"/>
      <c r="LSJ45" s="685"/>
      <c r="LSK45" s="685"/>
      <c r="LSL45" s="685"/>
      <c r="LSM45" s="685"/>
      <c r="LSN45" s="685"/>
      <c r="LSO45" s="685"/>
      <c r="LSP45" s="685"/>
      <c r="LSQ45" s="685"/>
      <c r="LSR45" s="685"/>
      <c r="LSS45" s="685"/>
      <c r="LST45" s="685"/>
      <c r="LSU45" s="685"/>
      <c r="LSV45" s="685"/>
      <c r="LSW45" s="685"/>
      <c r="LSX45" s="685"/>
      <c r="LSY45" s="685"/>
      <c r="LSZ45" s="685"/>
      <c r="LTA45" s="685"/>
      <c r="LTB45" s="685"/>
      <c r="LTC45" s="685"/>
      <c r="LTD45" s="685"/>
      <c r="LTE45" s="685"/>
      <c r="LTF45" s="685"/>
      <c r="LTG45" s="685"/>
      <c r="LTH45" s="685"/>
      <c r="LTI45" s="685"/>
      <c r="LTJ45" s="685"/>
      <c r="LTK45" s="685"/>
      <c r="LTL45" s="685"/>
      <c r="LTM45" s="685"/>
      <c r="LTN45" s="685"/>
      <c r="LTO45" s="685"/>
      <c r="LTP45" s="685"/>
      <c r="LTQ45" s="685"/>
      <c r="LTR45" s="685"/>
      <c r="LTS45" s="685"/>
      <c r="LTT45" s="685"/>
      <c r="LTU45" s="685"/>
      <c r="LTV45" s="685"/>
      <c r="LTW45" s="685"/>
      <c r="LTX45" s="685"/>
      <c r="LTY45" s="685"/>
      <c r="LTZ45" s="685"/>
      <c r="LUA45" s="685"/>
      <c r="LUB45" s="685"/>
      <c r="LUC45" s="685"/>
      <c r="LUD45" s="685"/>
      <c r="LUE45" s="685"/>
      <c r="LUF45" s="685"/>
      <c r="LUG45" s="685"/>
      <c r="LUH45" s="685"/>
      <c r="LUI45" s="685"/>
      <c r="LUJ45" s="685"/>
      <c r="LUK45" s="685"/>
      <c r="LUL45" s="685"/>
      <c r="LUM45" s="685"/>
      <c r="LUN45" s="685"/>
      <c r="LUO45" s="685"/>
      <c r="LUP45" s="685"/>
      <c r="LUQ45" s="685"/>
      <c r="LUR45" s="685"/>
      <c r="LUS45" s="685"/>
      <c r="LUT45" s="685"/>
      <c r="LUU45" s="685"/>
      <c r="LUV45" s="685"/>
      <c r="LUW45" s="685"/>
      <c r="LUX45" s="685"/>
      <c r="LUY45" s="685"/>
      <c r="LUZ45" s="685"/>
      <c r="LVA45" s="685"/>
      <c r="LVB45" s="685"/>
      <c r="LVC45" s="685"/>
      <c r="LVD45" s="685"/>
      <c r="LVE45" s="685"/>
      <c r="LVF45" s="685"/>
      <c r="LVG45" s="685"/>
      <c r="LVH45" s="685"/>
      <c r="LVI45" s="685"/>
      <c r="LVJ45" s="685"/>
      <c r="LVK45" s="685"/>
      <c r="LVL45" s="685"/>
      <c r="LVM45" s="685"/>
      <c r="LVN45" s="685"/>
      <c r="LVO45" s="685"/>
      <c r="LVP45" s="685"/>
      <c r="LVQ45" s="685"/>
      <c r="LVR45" s="685"/>
      <c r="LVS45" s="685"/>
      <c r="LVT45" s="685"/>
      <c r="LVU45" s="685"/>
      <c r="LVV45" s="685"/>
      <c r="LVW45" s="685"/>
      <c r="LVX45" s="685"/>
      <c r="LVY45" s="685"/>
      <c r="LVZ45" s="685"/>
      <c r="LWA45" s="685"/>
      <c r="LWB45" s="685"/>
      <c r="LWC45" s="685"/>
      <c r="LWD45" s="685"/>
      <c r="LWE45" s="685"/>
      <c r="LWF45" s="685"/>
      <c r="LWG45" s="685"/>
      <c r="LWH45" s="685"/>
      <c r="LWI45" s="685"/>
      <c r="LWJ45" s="685"/>
      <c r="LWK45" s="685"/>
      <c r="LWL45" s="685"/>
      <c r="LWM45" s="685"/>
      <c r="LWN45" s="685"/>
      <c r="LWO45" s="685"/>
      <c r="LWP45" s="685"/>
      <c r="LWQ45" s="685"/>
      <c r="LWR45" s="685"/>
      <c r="LWS45" s="685"/>
      <c r="LWT45" s="685"/>
      <c r="LWU45" s="685"/>
      <c r="LWV45" s="685"/>
      <c r="LWW45" s="685"/>
      <c r="LWX45" s="685"/>
      <c r="LWY45" s="685"/>
      <c r="LWZ45" s="685"/>
      <c r="LXA45" s="685"/>
      <c r="LXB45" s="685"/>
      <c r="LXC45" s="685"/>
      <c r="LXD45" s="685"/>
      <c r="LXE45" s="685"/>
      <c r="LXF45" s="685"/>
      <c r="LXG45" s="685"/>
      <c r="LXH45" s="685"/>
      <c r="LXI45" s="685"/>
      <c r="LXJ45" s="685"/>
      <c r="LXK45" s="685"/>
      <c r="LXL45" s="685"/>
      <c r="LXM45" s="685"/>
      <c r="LXN45" s="685"/>
      <c r="LXO45" s="685"/>
      <c r="LXP45" s="685"/>
      <c r="LXQ45" s="685"/>
      <c r="LXR45" s="685"/>
      <c r="LXS45" s="685"/>
      <c r="LXT45" s="685"/>
      <c r="LXU45" s="685"/>
      <c r="LXV45" s="685"/>
      <c r="LXW45" s="685"/>
      <c r="LXX45" s="685"/>
      <c r="LXY45" s="685"/>
      <c r="LXZ45" s="685"/>
      <c r="LYA45" s="685"/>
      <c r="LYB45" s="685"/>
      <c r="LYC45" s="685"/>
      <c r="LYD45" s="685"/>
      <c r="LYE45" s="685"/>
      <c r="LYF45" s="685"/>
      <c r="LYG45" s="685"/>
      <c r="LYH45" s="685"/>
      <c r="LYI45" s="685"/>
      <c r="LYJ45" s="685"/>
      <c r="LYK45" s="685"/>
      <c r="LYL45" s="685"/>
      <c r="LYM45" s="685"/>
      <c r="LYN45" s="685"/>
      <c r="LYO45" s="685"/>
      <c r="LYP45" s="685"/>
      <c r="LYQ45" s="685"/>
      <c r="LYR45" s="685"/>
      <c r="LYS45" s="685"/>
      <c r="LYT45" s="685"/>
      <c r="LYU45" s="685"/>
      <c r="LYV45" s="685"/>
      <c r="LYW45" s="685"/>
      <c r="LYX45" s="685"/>
      <c r="LYY45" s="685"/>
      <c r="LYZ45" s="685"/>
      <c r="LZA45" s="685"/>
      <c r="LZB45" s="685"/>
      <c r="LZC45" s="685"/>
      <c r="LZD45" s="685"/>
      <c r="LZE45" s="685"/>
      <c r="LZF45" s="685"/>
      <c r="LZG45" s="685"/>
      <c r="LZH45" s="685"/>
      <c r="LZI45" s="685"/>
      <c r="LZJ45" s="685"/>
      <c r="LZK45" s="685"/>
      <c r="LZL45" s="685"/>
      <c r="LZM45" s="685"/>
      <c r="LZN45" s="685"/>
      <c r="LZO45" s="685"/>
      <c r="LZP45" s="685"/>
      <c r="LZQ45" s="685"/>
      <c r="LZR45" s="685"/>
      <c r="LZS45" s="685"/>
      <c r="LZT45" s="685"/>
      <c r="LZU45" s="685"/>
      <c r="LZV45" s="685"/>
      <c r="LZW45" s="685"/>
      <c r="LZX45" s="685"/>
      <c r="LZY45" s="685"/>
      <c r="LZZ45" s="685"/>
      <c r="MAA45" s="685"/>
      <c r="MAB45" s="685"/>
      <c r="MAC45" s="685"/>
      <c r="MAD45" s="685"/>
      <c r="MAE45" s="685"/>
      <c r="MAF45" s="685"/>
      <c r="MAG45" s="685"/>
      <c r="MAH45" s="685"/>
      <c r="MAI45" s="685"/>
      <c r="MAJ45" s="685"/>
      <c r="MAK45" s="685"/>
      <c r="MAL45" s="685"/>
      <c r="MAM45" s="685"/>
      <c r="MAN45" s="685"/>
      <c r="MAO45" s="685"/>
      <c r="MAP45" s="685"/>
      <c r="MAQ45" s="685"/>
      <c r="MAR45" s="685"/>
      <c r="MAS45" s="685"/>
      <c r="MAT45" s="685"/>
      <c r="MAU45" s="685"/>
      <c r="MAV45" s="685"/>
      <c r="MAW45" s="685"/>
      <c r="MAX45" s="685"/>
      <c r="MAY45" s="685"/>
      <c r="MAZ45" s="685"/>
      <c r="MBA45" s="685"/>
      <c r="MBB45" s="685"/>
      <c r="MBC45" s="685"/>
      <c r="MBD45" s="685"/>
      <c r="MBE45" s="685"/>
      <c r="MBF45" s="685"/>
      <c r="MBG45" s="685"/>
      <c r="MBH45" s="685"/>
      <c r="MBI45" s="685"/>
      <c r="MBJ45" s="685"/>
      <c r="MBK45" s="685"/>
      <c r="MBL45" s="685"/>
      <c r="MBM45" s="685"/>
      <c r="MBN45" s="685"/>
      <c r="MBO45" s="685"/>
      <c r="MBP45" s="685"/>
      <c r="MBQ45" s="685"/>
      <c r="MBR45" s="685"/>
      <c r="MBS45" s="685"/>
      <c r="MBT45" s="685"/>
      <c r="MBU45" s="685"/>
      <c r="MBV45" s="685"/>
      <c r="MBW45" s="685"/>
      <c r="MBX45" s="685"/>
      <c r="MBY45" s="685"/>
      <c r="MBZ45" s="685"/>
      <c r="MCA45" s="685"/>
      <c r="MCB45" s="685"/>
      <c r="MCC45" s="685"/>
      <c r="MCD45" s="685"/>
      <c r="MCE45" s="685"/>
      <c r="MCF45" s="685"/>
      <c r="MCG45" s="685"/>
      <c r="MCH45" s="685"/>
      <c r="MCI45" s="685"/>
      <c r="MCJ45" s="685"/>
      <c r="MCK45" s="685"/>
      <c r="MCL45" s="685"/>
      <c r="MCM45" s="685"/>
      <c r="MCN45" s="685"/>
      <c r="MCO45" s="685"/>
      <c r="MCP45" s="685"/>
      <c r="MCQ45" s="685"/>
      <c r="MCR45" s="685"/>
      <c r="MCS45" s="685"/>
      <c r="MCT45" s="685"/>
      <c r="MCU45" s="685"/>
      <c r="MCV45" s="685"/>
      <c r="MCW45" s="685"/>
      <c r="MCX45" s="685"/>
      <c r="MCY45" s="685"/>
      <c r="MCZ45" s="685"/>
      <c r="MDA45" s="685"/>
      <c r="MDB45" s="685"/>
      <c r="MDC45" s="685"/>
      <c r="MDD45" s="685"/>
      <c r="MDE45" s="685"/>
      <c r="MDF45" s="685"/>
      <c r="MDG45" s="685"/>
      <c r="MDH45" s="685"/>
      <c r="MDI45" s="685"/>
      <c r="MDJ45" s="685"/>
      <c r="MDK45" s="685"/>
      <c r="MDL45" s="685"/>
      <c r="MDM45" s="685"/>
      <c r="MDN45" s="685"/>
      <c r="MDO45" s="685"/>
      <c r="MDP45" s="685"/>
      <c r="MDQ45" s="685"/>
      <c r="MDR45" s="685"/>
      <c r="MDS45" s="685"/>
      <c r="MDT45" s="685"/>
      <c r="MDU45" s="685"/>
      <c r="MDV45" s="685"/>
      <c r="MDW45" s="685"/>
      <c r="MDX45" s="685"/>
      <c r="MDY45" s="685"/>
      <c r="MDZ45" s="685"/>
      <c r="MEA45" s="685"/>
      <c r="MEB45" s="685"/>
      <c r="MEC45" s="685"/>
      <c r="MED45" s="685"/>
      <c r="MEE45" s="685"/>
      <c r="MEF45" s="685"/>
      <c r="MEG45" s="685"/>
      <c r="MEH45" s="685"/>
      <c r="MEI45" s="685"/>
      <c r="MEJ45" s="685"/>
      <c r="MEK45" s="685"/>
      <c r="MEL45" s="685"/>
      <c r="MEM45" s="685"/>
      <c r="MEN45" s="685"/>
      <c r="MEO45" s="685"/>
      <c r="MEP45" s="685"/>
      <c r="MEQ45" s="685"/>
      <c r="MER45" s="685"/>
      <c r="MES45" s="685"/>
      <c r="MET45" s="685"/>
      <c r="MEU45" s="685"/>
      <c r="MEV45" s="685"/>
      <c r="MEW45" s="685"/>
      <c r="MEX45" s="685"/>
      <c r="MEY45" s="685"/>
      <c r="MEZ45" s="685"/>
      <c r="MFA45" s="685"/>
      <c r="MFB45" s="685"/>
      <c r="MFC45" s="685"/>
      <c r="MFD45" s="685"/>
      <c r="MFE45" s="685"/>
      <c r="MFF45" s="685"/>
      <c r="MFG45" s="685"/>
      <c r="MFH45" s="685"/>
      <c r="MFI45" s="685"/>
      <c r="MFJ45" s="685"/>
      <c r="MFK45" s="685"/>
      <c r="MFL45" s="685"/>
      <c r="MFM45" s="685"/>
      <c r="MFN45" s="685"/>
      <c r="MFO45" s="685"/>
      <c r="MFP45" s="685"/>
      <c r="MFQ45" s="685"/>
      <c r="MFR45" s="685"/>
      <c r="MFS45" s="685"/>
      <c r="MFT45" s="685"/>
      <c r="MFU45" s="685"/>
      <c r="MFV45" s="685"/>
      <c r="MFW45" s="685"/>
      <c r="MFX45" s="685"/>
      <c r="MFY45" s="685"/>
      <c r="MFZ45" s="685"/>
      <c r="MGA45" s="685"/>
      <c r="MGB45" s="685"/>
      <c r="MGC45" s="685"/>
      <c r="MGD45" s="685"/>
      <c r="MGE45" s="685"/>
      <c r="MGF45" s="685"/>
      <c r="MGG45" s="685"/>
      <c r="MGH45" s="685"/>
      <c r="MGI45" s="685"/>
      <c r="MGJ45" s="685"/>
      <c r="MGK45" s="685"/>
      <c r="MGL45" s="685"/>
      <c r="MGM45" s="685"/>
      <c r="MGN45" s="685"/>
      <c r="MGO45" s="685"/>
      <c r="MGP45" s="685"/>
      <c r="MGQ45" s="685"/>
      <c r="MGR45" s="685"/>
      <c r="MGS45" s="685"/>
      <c r="MGT45" s="685"/>
      <c r="MGU45" s="685"/>
      <c r="MGV45" s="685"/>
      <c r="MGW45" s="685"/>
      <c r="MGX45" s="685"/>
      <c r="MGY45" s="685"/>
      <c r="MGZ45" s="685"/>
      <c r="MHA45" s="685"/>
      <c r="MHB45" s="685"/>
      <c r="MHC45" s="685"/>
      <c r="MHD45" s="685"/>
      <c r="MHE45" s="685"/>
      <c r="MHF45" s="685"/>
      <c r="MHG45" s="685"/>
      <c r="MHH45" s="685"/>
      <c r="MHI45" s="685"/>
      <c r="MHJ45" s="685"/>
      <c r="MHK45" s="685"/>
      <c r="MHL45" s="685"/>
      <c r="MHM45" s="685"/>
      <c r="MHN45" s="685"/>
      <c r="MHO45" s="685"/>
      <c r="MHP45" s="685"/>
      <c r="MHQ45" s="685"/>
      <c r="MHR45" s="685"/>
      <c r="MHS45" s="685"/>
      <c r="MHT45" s="685"/>
      <c r="MHU45" s="685"/>
      <c r="MHV45" s="685"/>
      <c r="MHW45" s="685"/>
      <c r="MHX45" s="685"/>
      <c r="MHY45" s="685"/>
      <c r="MHZ45" s="685"/>
      <c r="MIA45" s="685"/>
      <c r="MIB45" s="685"/>
      <c r="MIC45" s="685"/>
      <c r="MID45" s="685"/>
      <c r="MIE45" s="685"/>
      <c r="MIF45" s="685"/>
      <c r="MIG45" s="685"/>
      <c r="MIH45" s="685"/>
      <c r="MII45" s="685"/>
      <c r="MIJ45" s="685"/>
      <c r="MIK45" s="685"/>
      <c r="MIL45" s="685"/>
      <c r="MIM45" s="685"/>
      <c r="MIN45" s="685"/>
      <c r="MIO45" s="685"/>
      <c r="MIP45" s="685"/>
      <c r="MIQ45" s="685"/>
      <c r="MIR45" s="685"/>
      <c r="MIS45" s="685"/>
      <c r="MIT45" s="685"/>
      <c r="MIU45" s="685"/>
      <c r="MIV45" s="685"/>
      <c r="MIW45" s="685"/>
      <c r="MIX45" s="685"/>
      <c r="MIY45" s="685"/>
      <c r="MIZ45" s="685"/>
      <c r="MJA45" s="685"/>
      <c r="MJB45" s="685"/>
      <c r="MJC45" s="685"/>
      <c r="MJD45" s="685"/>
      <c r="MJE45" s="685"/>
      <c r="MJF45" s="685"/>
      <c r="MJG45" s="685"/>
      <c r="MJH45" s="685"/>
      <c r="MJI45" s="685"/>
      <c r="MJJ45" s="685"/>
      <c r="MJK45" s="685"/>
      <c r="MJL45" s="685"/>
      <c r="MJM45" s="685"/>
      <c r="MJN45" s="685"/>
      <c r="MJO45" s="685"/>
      <c r="MJP45" s="685"/>
      <c r="MJQ45" s="685"/>
      <c r="MJR45" s="685"/>
      <c r="MJS45" s="685"/>
      <c r="MJT45" s="685"/>
      <c r="MJU45" s="685"/>
      <c r="MJV45" s="685"/>
      <c r="MJW45" s="685"/>
      <c r="MJX45" s="685"/>
      <c r="MJY45" s="685"/>
      <c r="MJZ45" s="685"/>
      <c r="MKA45" s="685"/>
      <c r="MKB45" s="685"/>
      <c r="MKC45" s="685"/>
      <c r="MKD45" s="685"/>
      <c r="MKE45" s="685"/>
      <c r="MKF45" s="685"/>
      <c r="MKG45" s="685"/>
      <c r="MKH45" s="685"/>
      <c r="MKI45" s="685"/>
      <c r="MKJ45" s="685"/>
      <c r="MKK45" s="685"/>
      <c r="MKL45" s="685"/>
      <c r="MKM45" s="685"/>
      <c r="MKN45" s="685"/>
      <c r="MKO45" s="685"/>
      <c r="MKP45" s="685"/>
      <c r="MKQ45" s="685"/>
      <c r="MKR45" s="685"/>
      <c r="MKS45" s="685"/>
      <c r="MKT45" s="685"/>
      <c r="MKU45" s="685"/>
      <c r="MKV45" s="685"/>
      <c r="MKW45" s="685"/>
      <c r="MKX45" s="685"/>
      <c r="MKY45" s="685"/>
      <c r="MKZ45" s="685"/>
      <c r="MLA45" s="685"/>
      <c r="MLB45" s="685"/>
      <c r="MLC45" s="685"/>
      <c r="MLD45" s="685"/>
      <c r="MLE45" s="685"/>
      <c r="MLF45" s="685"/>
      <c r="MLG45" s="685"/>
      <c r="MLH45" s="685"/>
      <c r="MLI45" s="685"/>
      <c r="MLJ45" s="685"/>
      <c r="MLK45" s="685"/>
      <c r="MLL45" s="685"/>
      <c r="MLM45" s="685"/>
      <c r="MLN45" s="685"/>
      <c r="MLO45" s="685"/>
      <c r="MLP45" s="685"/>
      <c r="MLQ45" s="685"/>
      <c r="MLR45" s="685"/>
      <c r="MLS45" s="685"/>
      <c r="MLT45" s="685"/>
      <c r="MLU45" s="685"/>
      <c r="MLV45" s="685"/>
      <c r="MLW45" s="685"/>
      <c r="MLX45" s="685"/>
      <c r="MLY45" s="685"/>
      <c r="MLZ45" s="685"/>
      <c r="MMA45" s="685"/>
      <c r="MMB45" s="685"/>
      <c r="MMC45" s="685"/>
      <c r="MMD45" s="685"/>
      <c r="MME45" s="685"/>
      <c r="MMF45" s="685"/>
      <c r="MMG45" s="685"/>
      <c r="MMH45" s="685"/>
      <c r="MMI45" s="685"/>
      <c r="MMJ45" s="685"/>
      <c r="MMK45" s="685"/>
      <c r="MML45" s="685"/>
      <c r="MMM45" s="685"/>
      <c r="MMN45" s="685"/>
      <c r="MMO45" s="685"/>
      <c r="MMP45" s="685"/>
      <c r="MMQ45" s="685"/>
      <c r="MMR45" s="685"/>
      <c r="MMS45" s="685"/>
      <c r="MMT45" s="685"/>
      <c r="MMU45" s="685"/>
      <c r="MMV45" s="685"/>
      <c r="MMW45" s="685"/>
      <c r="MMX45" s="685"/>
      <c r="MMY45" s="685"/>
      <c r="MMZ45" s="685"/>
      <c r="MNA45" s="685"/>
      <c r="MNB45" s="685"/>
      <c r="MNC45" s="685"/>
      <c r="MND45" s="685"/>
      <c r="MNE45" s="685"/>
      <c r="MNF45" s="685"/>
      <c r="MNG45" s="685"/>
      <c r="MNH45" s="685"/>
      <c r="MNI45" s="685"/>
      <c r="MNJ45" s="685"/>
      <c r="MNK45" s="685"/>
      <c r="MNL45" s="685"/>
      <c r="MNM45" s="685"/>
      <c r="MNN45" s="685"/>
      <c r="MNO45" s="685"/>
      <c r="MNP45" s="685"/>
      <c r="MNQ45" s="685"/>
      <c r="MNR45" s="685"/>
      <c r="MNS45" s="685"/>
      <c r="MNT45" s="685"/>
      <c r="MNU45" s="685"/>
      <c r="MNV45" s="685"/>
      <c r="MNW45" s="685"/>
      <c r="MNX45" s="685"/>
      <c r="MNY45" s="685"/>
      <c r="MNZ45" s="685"/>
      <c r="MOA45" s="685"/>
      <c r="MOB45" s="685"/>
      <c r="MOC45" s="685"/>
      <c r="MOD45" s="685"/>
      <c r="MOE45" s="685"/>
      <c r="MOF45" s="685"/>
      <c r="MOG45" s="685"/>
      <c r="MOH45" s="685"/>
      <c r="MOI45" s="685"/>
      <c r="MOJ45" s="685"/>
      <c r="MOK45" s="685"/>
      <c r="MOL45" s="685"/>
      <c r="MOM45" s="685"/>
      <c r="MON45" s="685"/>
      <c r="MOO45" s="685"/>
      <c r="MOP45" s="685"/>
      <c r="MOQ45" s="685"/>
      <c r="MOR45" s="685"/>
      <c r="MOS45" s="685"/>
      <c r="MOT45" s="685"/>
      <c r="MOU45" s="685"/>
      <c r="MOV45" s="685"/>
      <c r="MOW45" s="685"/>
      <c r="MOX45" s="685"/>
      <c r="MOY45" s="685"/>
      <c r="MOZ45" s="685"/>
      <c r="MPA45" s="685"/>
      <c r="MPB45" s="685"/>
      <c r="MPC45" s="685"/>
      <c r="MPD45" s="685"/>
      <c r="MPE45" s="685"/>
      <c r="MPF45" s="685"/>
      <c r="MPG45" s="685"/>
      <c r="MPH45" s="685"/>
      <c r="MPI45" s="685"/>
      <c r="MPJ45" s="685"/>
      <c r="MPK45" s="685"/>
      <c r="MPL45" s="685"/>
      <c r="MPM45" s="685"/>
      <c r="MPN45" s="685"/>
      <c r="MPO45" s="685"/>
      <c r="MPP45" s="685"/>
      <c r="MPQ45" s="685"/>
      <c r="MPR45" s="685"/>
      <c r="MPS45" s="685"/>
      <c r="MPT45" s="685"/>
      <c r="MPU45" s="685"/>
      <c r="MPV45" s="685"/>
      <c r="MPW45" s="685"/>
      <c r="MPX45" s="685"/>
      <c r="MPY45" s="685"/>
      <c r="MPZ45" s="685"/>
      <c r="MQA45" s="685"/>
      <c r="MQB45" s="685"/>
      <c r="MQC45" s="685"/>
      <c r="MQD45" s="685"/>
      <c r="MQE45" s="685"/>
      <c r="MQF45" s="685"/>
      <c r="MQG45" s="685"/>
      <c r="MQH45" s="685"/>
      <c r="MQI45" s="685"/>
      <c r="MQJ45" s="685"/>
      <c r="MQK45" s="685"/>
      <c r="MQL45" s="685"/>
      <c r="MQM45" s="685"/>
      <c r="MQN45" s="685"/>
      <c r="MQO45" s="685"/>
      <c r="MQP45" s="685"/>
      <c r="MQQ45" s="685"/>
      <c r="MQR45" s="685"/>
      <c r="MQS45" s="685"/>
      <c r="MQT45" s="685"/>
      <c r="MQU45" s="685"/>
      <c r="MQV45" s="685"/>
      <c r="MQW45" s="685"/>
      <c r="MQX45" s="685"/>
      <c r="MQY45" s="685"/>
      <c r="MQZ45" s="685"/>
      <c r="MRA45" s="685"/>
      <c r="MRB45" s="685"/>
      <c r="MRC45" s="685"/>
      <c r="MRD45" s="685"/>
      <c r="MRE45" s="685"/>
      <c r="MRF45" s="685"/>
      <c r="MRG45" s="685"/>
      <c r="MRH45" s="685"/>
      <c r="MRI45" s="685"/>
      <c r="MRJ45" s="685"/>
      <c r="MRK45" s="685"/>
      <c r="MRL45" s="685"/>
      <c r="MRM45" s="685"/>
      <c r="MRN45" s="685"/>
      <c r="MRO45" s="685"/>
      <c r="MRP45" s="685"/>
      <c r="MRQ45" s="685"/>
      <c r="MRR45" s="685"/>
      <c r="MRS45" s="685"/>
      <c r="MRT45" s="685"/>
      <c r="MRU45" s="685"/>
      <c r="MRV45" s="685"/>
      <c r="MRW45" s="685"/>
      <c r="MRX45" s="685"/>
      <c r="MRY45" s="685"/>
      <c r="MRZ45" s="685"/>
      <c r="MSA45" s="685"/>
      <c r="MSB45" s="685"/>
      <c r="MSC45" s="685"/>
      <c r="MSD45" s="685"/>
      <c r="MSE45" s="685"/>
      <c r="MSF45" s="685"/>
      <c r="MSG45" s="685"/>
      <c r="MSH45" s="685"/>
      <c r="MSI45" s="685"/>
      <c r="MSJ45" s="685"/>
      <c r="MSK45" s="685"/>
      <c r="MSL45" s="685"/>
      <c r="MSM45" s="685"/>
      <c r="MSN45" s="685"/>
      <c r="MSO45" s="685"/>
      <c r="MSP45" s="685"/>
      <c r="MSQ45" s="685"/>
      <c r="MSR45" s="685"/>
      <c r="MSS45" s="685"/>
      <c r="MST45" s="685"/>
      <c r="MSU45" s="685"/>
      <c r="MSV45" s="685"/>
      <c r="MSW45" s="685"/>
      <c r="MSX45" s="685"/>
      <c r="MSY45" s="685"/>
      <c r="MSZ45" s="685"/>
      <c r="MTA45" s="685"/>
      <c r="MTB45" s="685"/>
      <c r="MTC45" s="685"/>
      <c r="MTD45" s="685"/>
      <c r="MTE45" s="685"/>
      <c r="MTF45" s="685"/>
      <c r="MTG45" s="685"/>
      <c r="MTH45" s="685"/>
      <c r="MTI45" s="685"/>
      <c r="MTJ45" s="685"/>
      <c r="MTK45" s="685"/>
      <c r="MTL45" s="685"/>
      <c r="MTM45" s="685"/>
      <c r="MTN45" s="685"/>
      <c r="MTO45" s="685"/>
      <c r="MTP45" s="685"/>
      <c r="MTQ45" s="685"/>
      <c r="MTR45" s="685"/>
      <c r="MTS45" s="685"/>
      <c r="MTT45" s="685"/>
      <c r="MTU45" s="685"/>
      <c r="MTV45" s="685"/>
      <c r="MTW45" s="685"/>
      <c r="MTX45" s="685"/>
      <c r="MTY45" s="685"/>
      <c r="MTZ45" s="685"/>
      <c r="MUA45" s="685"/>
      <c r="MUB45" s="685"/>
      <c r="MUC45" s="685"/>
      <c r="MUD45" s="685"/>
      <c r="MUE45" s="685"/>
      <c r="MUF45" s="685"/>
      <c r="MUG45" s="685"/>
      <c r="MUH45" s="685"/>
      <c r="MUI45" s="685"/>
      <c r="MUJ45" s="685"/>
      <c r="MUK45" s="685"/>
      <c r="MUL45" s="685"/>
      <c r="MUM45" s="685"/>
      <c r="MUN45" s="685"/>
      <c r="MUO45" s="685"/>
      <c r="MUP45" s="685"/>
      <c r="MUQ45" s="685"/>
      <c r="MUR45" s="685"/>
      <c r="MUS45" s="685"/>
      <c r="MUT45" s="685"/>
      <c r="MUU45" s="685"/>
      <c r="MUV45" s="685"/>
      <c r="MUW45" s="685"/>
      <c r="MUX45" s="685"/>
      <c r="MUY45" s="685"/>
      <c r="MUZ45" s="685"/>
      <c r="MVA45" s="685"/>
      <c r="MVB45" s="685"/>
      <c r="MVC45" s="685"/>
      <c r="MVD45" s="685"/>
      <c r="MVE45" s="685"/>
      <c r="MVF45" s="685"/>
      <c r="MVG45" s="685"/>
      <c r="MVH45" s="685"/>
      <c r="MVI45" s="685"/>
      <c r="MVJ45" s="685"/>
      <c r="MVK45" s="685"/>
      <c r="MVL45" s="685"/>
      <c r="MVM45" s="685"/>
      <c r="MVN45" s="685"/>
      <c r="MVO45" s="685"/>
      <c r="MVP45" s="685"/>
      <c r="MVQ45" s="685"/>
      <c r="MVR45" s="685"/>
      <c r="MVS45" s="685"/>
      <c r="MVT45" s="685"/>
      <c r="MVU45" s="685"/>
      <c r="MVV45" s="685"/>
      <c r="MVW45" s="685"/>
      <c r="MVX45" s="685"/>
      <c r="MVY45" s="685"/>
      <c r="MVZ45" s="685"/>
      <c r="MWA45" s="685"/>
      <c r="MWB45" s="685"/>
      <c r="MWC45" s="685"/>
      <c r="MWD45" s="685"/>
      <c r="MWE45" s="685"/>
      <c r="MWF45" s="685"/>
      <c r="MWG45" s="685"/>
      <c r="MWH45" s="685"/>
      <c r="MWI45" s="685"/>
      <c r="MWJ45" s="685"/>
      <c r="MWK45" s="685"/>
      <c r="MWL45" s="685"/>
      <c r="MWM45" s="685"/>
      <c r="MWN45" s="685"/>
      <c r="MWO45" s="685"/>
      <c r="MWP45" s="685"/>
      <c r="MWQ45" s="685"/>
      <c r="MWR45" s="685"/>
      <c r="MWS45" s="685"/>
      <c r="MWT45" s="685"/>
      <c r="MWU45" s="685"/>
      <c r="MWV45" s="685"/>
      <c r="MWW45" s="685"/>
      <c r="MWX45" s="685"/>
      <c r="MWY45" s="685"/>
      <c r="MWZ45" s="685"/>
      <c r="MXA45" s="685"/>
      <c r="MXB45" s="685"/>
      <c r="MXC45" s="685"/>
      <c r="MXD45" s="685"/>
      <c r="MXE45" s="685"/>
      <c r="MXF45" s="685"/>
      <c r="MXG45" s="685"/>
      <c r="MXH45" s="685"/>
      <c r="MXI45" s="685"/>
      <c r="MXJ45" s="685"/>
      <c r="MXK45" s="685"/>
      <c r="MXL45" s="685"/>
      <c r="MXM45" s="685"/>
      <c r="MXN45" s="685"/>
      <c r="MXO45" s="685"/>
      <c r="MXP45" s="685"/>
      <c r="MXQ45" s="685"/>
      <c r="MXR45" s="685"/>
      <c r="MXS45" s="685"/>
      <c r="MXT45" s="685"/>
      <c r="MXU45" s="685"/>
      <c r="MXV45" s="685"/>
      <c r="MXW45" s="685"/>
      <c r="MXX45" s="685"/>
      <c r="MXY45" s="685"/>
      <c r="MXZ45" s="685"/>
      <c r="MYA45" s="685"/>
      <c r="MYB45" s="685"/>
      <c r="MYC45" s="685"/>
      <c r="MYD45" s="685"/>
      <c r="MYE45" s="685"/>
      <c r="MYF45" s="685"/>
      <c r="MYG45" s="685"/>
      <c r="MYH45" s="685"/>
      <c r="MYI45" s="685"/>
      <c r="MYJ45" s="685"/>
      <c r="MYK45" s="685"/>
      <c r="MYL45" s="685"/>
      <c r="MYM45" s="685"/>
      <c r="MYN45" s="685"/>
      <c r="MYO45" s="685"/>
      <c r="MYP45" s="685"/>
      <c r="MYQ45" s="685"/>
      <c r="MYR45" s="685"/>
      <c r="MYS45" s="685"/>
      <c r="MYT45" s="685"/>
      <c r="MYU45" s="685"/>
      <c r="MYV45" s="685"/>
      <c r="MYW45" s="685"/>
      <c r="MYX45" s="685"/>
      <c r="MYY45" s="685"/>
      <c r="MYZ45" s="685"/>
      <c r="MZA45" s="685"/>
      <c r="MZB45" s="685"/>
      <c r="MZC45" s="685"/>
      <c r="MZD45" s="685"/>
      <c r="MZE45" s="685"/>
      <c r="MZF45" s="685"/>
      <c r="MZG45" s="685"/>
      <c r="MZH45" s="685"/>
      <c r="MZI45" s="685"/>
      <c r="MZJ45" s="685"/>
      <c r="MZK45" s="685"/>
      <c r="MZL45" s="685"/>
      <c r="MZM45" s="685"/>
      <c r="MZN45" s="685"/>
      <c r="MZO45" s="685"/>
      <c r="MZP45" s="685"/>
      <c r="MZQ45" s="685"/>
      <c r="MZR45" s="685"/>
      <c r="MZS45" s="685"/>
      <c r="MZT45" s="685"/>
      <c r="MZU45" s="685"/>
      <c r="MZV45" s="685"/>
      <c r="MZW45" s="685"/>
      <c r="MZX45" s="685"/>
      <c r="MZY45" s="685"/>
      <c r="MZZ45" s="685"/>
      <c r="NAA45" s="685"/>
      <c r="NAB45" s="685"/>
      <c r="NAC45" s="685"/>
      <c r="NAD45" s="685"/>
      <c r="NAE45" s="685"/>
      <c r="NAF45" s="685"/>
      <c r="NAG45" s="685"/>
      <c r="NAH45" s="685"/>
      <c r="NAI45" s="685"/>
      <c r="NAJ45" s="685"/>
      <c r="NAK45" s="685"/>
      <c r="NAL45" s="685"/>
      <c r="NAM45" s="685"/>
      <c r="NAN45" s="685"/>
      <c r="NAO45" s="685"/>
      <c r="NAP45" s="685"/>
      <c r="NAQ45" s="685"/>
      <c r="NAR45" s="685"/>
      <c r="NAS45" s="685"/>
      <c r="NAT45" s="685"/>
      <c r="NAU45" s="685"/>
      <c r="NAV45" s="685"/>
      <c r="NAW45" s="685"/>
      <c r="NAX45" s="685"/>
      <c r="NAY45" s="685"/>
      <c r="NAZ45" s="685"/>
      <c r="NBA45" s="685"/>
      <c r="NBB45" s="685"/>
      <c r="NBC45" s="685"/>
      <c r="NBD45" s="685"/>
      <c r="NBE45" s="685"/>
      <c r="NBF45" s="685"/>
      <c r="NBG45" s="685"/>
      <c r="NBH45" s="685"/>
      <c r="NBI45" s="685"/>
      <c r="NBJ45" s="685"/>
      <c r="NBK45" s="685"/>
      <c r="NBL45" s="685"/>
      <c r="NBM45" s="685"/>
      <c r="NBN45" s="685"/>
      <c r="NBO45" s="685"/>
      <c r="NBP45" s="685"/>
      <c r="NBQ45" s="685"/>
      <c r="NBR45" s="685"/>
      <c r="NBS45" s="685"/>
      <c r="NBT45" s="685"/>
      <c r="NBU45" s="685"/>
      <c r="NBV45" s="685"/>
      <c r="NBW45" s="685"/>
      <c r="NBX45" s="685"/>
      <c r="NBY45" s="685"/>
      <c r="NBZ45" s="685"/>
      <c r="NCA45" s="685"/>
      <c r="NCB45" s="685"/>
      <c r="NCC45" s="685"/>
      <c r="NCD45" s="685"/>
      <c r="NCE45" s="685"/>
      <c r="NCF45" s="685"/>
      <c r="NCG45" s="685"/>
      <c r="NCH45" s="685"/>
      <c r="NCI45" s="685"/>
      <c r="NCJ45" s="685"/>
      <c r="NCK45" s="685"/>
      <c r="NCL45" s="685"/>
      <c r="NCM45" s="685"/>
      <c r="NCN45" s="685"/>
      <c r="NCO45" s="685"/>
      <c r="NCP45" s="685"/>
      <c r="NCQ45" s="685"/>
      <c r="NCR45" s="685"/>
      <c r="NCS45" s="685"/>
      <c r="NCT45" s="685"/>
      <c r="NCU45" s="685"/>
      <c r="NCV45" s="685"/>
      <c r="NCW45" s="685"/>
      <c r="NCX45" s="685"/>
      <c r="NCY45" s="685"/>
      <c r="NCZ45" s="685"/>
      <c r="NDA45" s="685"/>
      <c r="NDB45" s="685"/>
      <c r="NDC45" s="685"/>
      <c r="NDD45" s="685"/>
      <c r="NDE45" s="685"/>
      <c r="NDF45" s="685"/>
      <c r="NDG45" s="685"/>
      <c r="NDH45" s="685"/>
      <c r="NDI45" s="685"/>
      <c r="NDJ45" s="685"/>
      <c r="NDK45" s="685"/>
      <c r="NDL45" s="685"/>
      <c r="NDM45" s="685"/>
      <c r="NDN45" s="685"/>
      <c r="NDO45" s="685"/>
      <c r="NDP45" s="685"/>
      <c r="NDQ45" s="685"/>
      <c r="NDR45" s="685"/>
      <c r="NDS45" s="685"/>
      <c r="NDT45" s="685"/>
      <c r="NDU45" s="685"/>
      <c r="NDV45" s="685"/>
      <c r="NDW45" s="685"/>
      <c r="NDX45" s="685"/>
      <c r="NDY45" s="685"/>
      <c r="NDZ45" s="685"/>
      <c r="NEA45" s="685"/>
      <c r="NEB45" s="685"/>
      <c r="NEC45" s="685"/>
      <c r="NED45" s="685"/>
      <c r="NEE45" s="685"/>
      <c r="NEF45" s="685"/>
      <c r="NEG45" s="685"/>
      <c r="NEH45" s="685"/>
      <c r="NEI45" s="685"/>
      <c r="NEJ45" s="685"/>
      <c r="NEK45" s="685"/>
      <c r="NEL45" s="685"/>
      <c r="NEM45" s="685"/>
      <c r="NEN45" s="685"/>
      <c r="NEO45" s="685"/>
      <c r="NEP45" s="685"/>
      <c r="NEQ45" s="685"/>
      <c r="NER45" s="685"/>
      <c r="NES45" s="685"/>
      <c r="NET45" s="685"/>
      <c r="NEU45" s="685"/>
      <c r="NEV45" s="685"/>
      <c r="NEW45" s="685"/>
      <c r="NEX45" s="685"/>
      <c r="NEY45" s="685"/>
      <c r="NEZ45" s="685"/>
      <c r="NFA45" s="685"/>
      <c r="NFB45" s="685"/>
      <c r="NFC45" s="685"/>
      <c r="NFD45" s="685"/>
      <c r="NFE45" s="685"/>
      <c r="NFF45" s="685"/>
      <c r="NFG45" s="685"/>
      <c r="NFH45" s="685"/>
      <c r="NFI45" s="685"/>
      <c r="NFJ45" s="685"/>
      <c r="NFK45" s="685"/>
      <c r="NFL45" s="685"/>
      <c r="NFM45" s="685"/>
      <c r="NFN45" s="685"/>
      <c r="NFO45" s="685"/>
      <c r="NFP45" s="685"/>
      <c r="NFQ45" s="685"/>
      <c r="NFR45" s="685"/>
      <c r="NFS45" s="685"/>
      <c r="NFT45" s="685"/>
      <c r="NFU45" s="685"/>
      <c r="NFV45" s="685"/>
      <c r="NFW45" s="685"/>
      <c r="NFX45" s="685"/>
      <c r="NFY45" s="685"/>
      <c r="NFZ45" s="685"/>
      <c r="NGA45" s="685"/>
      <c r="NGB45" s="685"/>
      <c r="NGC45" s="685"/>
      <c r="NGD45" s="685"/>
      <c r="NGE45" s="685"/>
      <c r="NGF45" s="685"/>
      <c r="NGG45" s="685"/>
      <c r="NGH45" s="685"/>
      <c r="NGI45" s="685"/>
      <c r="NGJ45" s="685"/>
      <c r="NGK45" s="685"/>
      <c r="NGL45" s="685"/>
      <c r="NGM45" s="685"/>
      <c r="NGN45" s="685"/>
      <c r="NGO45" s="685"/>
      <c r="NGP45" s="685"/>
      <c r="NGQ45" s="685"/>
      <c r="NGR45" s="685"/>
      <c r="NGS45" s="685"/>
      <c r="NGT45" s="685"/>
      <c r="NGU45" s="685"/>
      <c r="NGV45" s="685"/>
      <c r="NGW45" s="685"/>
      <c r="NGX45" s="685"/>
      <c r="NGY45" s="685"/>
      <c r="NGZ45" s="685"/>
      <c r="NHA45" s="685"/>
      <c r="NHB45" s="685"/>
      <c r="NHC45" s="685"/>
      <c r="NHD45" s="685"/>
      <c r="NHE45" s="685"/>
      <c r="NHF45" s="685"/>
      <c r="NHG45" s="685"/>
      <c r="NHH45" s="685"/>
      <c r="NHI45" s="685"/>
      <c r="NHJ45" s="685"/>
      <c r="NHK45" s="685"/>
      <c r="NHL45" s="685"/>
      <c r="NHM45" s="685"/>
      <c r="NHN45" s="685"/>
      <c r="NHO45" s="685"/>
      <c r="NHP45" s="685"/>
      <c r="NHQ45" s="685"/>
      <c r="NHR45" s="685"/>
      <c r="NHS45" s="685"/>
      <c r="NHT45" s="685"/>
      <c r="NHU45" s="685"/>
      <c r="NHV45" s="685"/>
      <c r="NHW45" s="685"/>
      <c r="NHX45" s="685"/>
      <c r="NHY45" s="685"/>
      <c r="NHZ45" s="685"/>
      <c r="NIA45" s="685"/>
      <c r="NIB45" s="685"/>
      <c r="NIC45" s="685"/>
      <c r="NID45" s="685"/>
      <c r="NIE45" s="685"/>
      <c r="NIF45" s="685"/>
      <c r="NIG45" s="685"/>
      <c r="NIH45" s="685"/>
      <c r="NII45" s="685"/>
      <c r="NIJ45" s="685"/>
      <c r="NIK45" s="685"/>
      <c r="NIL45" s="685"/>
      <c r="NIM45" s="685"/>
      <c r="NIN45" s="685"/>
      <c r="NIO45" s="685"/>
      <c r="NIP45" s="685"/>
      <c r="NIQ45" s="685"/>
      <c r="NIR45" s="685"/>
      <c r="NIS45" s="685"/>
      <c r="NIT45" s="685"/>
      <c r="NIU45" s="685"/>
      <c r="NIV45" s="685"/>
      <c r="NIW45" s="685"/>
      <c r="NIX45" s="685"/>
      <c r="NIY45" s="685"/>
      <c r="NIZ45" s="685"/>
      <c r="NJA45" s="685"/>
      <c r="NJB45" s="685"/>
      <c r="NJC45" s="685"/>
      <c r="NJD45" s="685"/>
      <c r="NJE45" s="685"/>
      <c r="NJF45" s="685"/>
      <c r="NJG45" s="685"/>
      <c r="NJH45" s="685"/>
      <c r="NJI45" s="685"/>
      <c r="NJJ45" s="685"/>
      <c r="NJK45" s="685"/>
      <c r="NJL45" s="685"/>
      <c r="NJM45" s="685"/>
      <c r="NJN45" s="685"/>
      <c r="NJO45" s="685"/>
      <c r="NJP45" s="685"/>
      <c r="NJQ45" s="685"/>
      <c r="NJR45" s="685"/>
      <c r="NJS45" s="685"/>
      <c r="NJT45" s="685"/>
      <c r="NJU45" s="685"/>
      <c r="NJV45" s="685"/>
      <c r="NJW45" s="685"/>
      <c r="NJX45" s="685"/>
      <c r="NJY45" s="685"/>
      <c r="NJZ45" s="685"/>
      <c r="NKA45" s="685"/>
      <c r="NKB45" s="685"/>
      <c r="NKC45" s="685"/>
      <c r="NKD45" s="685"/>
      <c r="NKE45" s="685"/>
      <c r="NKF45" s="685"/>
      <c r="NKG45" s="685"/>
      <c r="NKH45" s="685"/>
      <c r="NKI45" s="685"/>
      <c r="NKJ45" s="685"/>
      <c r="NKK45" s="685"/>
      <c r="NKL45" s="685"/>
      <c r="NKM45" s="685"/>
      <c r="NKN45" s="685"/>
      <c r="NKO45" s="685"/>
      <c r="NKP45" s="685"/>
      <c r="NKQ45" s="685"/>
      <c r="NKR45" s="685"/>
      <c r="NKS45" s="685"/>
      <c r="NKT45" s="685"/>
      <c r="NKU45" s="685"/>
      <c r="NKV45" s="685"/>
      <c r="NKW45" s="685"/>
      <c r="NKX45" s="685"/>
      <c r="NKY45" s="685"/>
      <c r="NKZ45" s="685"/>
      <c r="NLA45" s="685"/>
      <c r="NLB45" s="685"/>
      <c r="NLC45" s="685"/>
      <c r="NLD45" s="685"/>
      <c r="NLE45" s="685"/>
      <c r="NLF45" s="685"/>
      <c r="NLG45" s="685"/>
      <c r="NLH45" s="685"/>
      <c r="NLI45" s="685"/>
      <c r="NLJ45" s="685"/>
      <c r="NLK45" s="685"/>
      <c r="NLL45" s="685"/>
      <c r="NLM45" s="685"/>
      <c r="NLN45" s="685"/>
      <c r="NLO45" s="685"/>
      <c r="NLP45" s="685"/>
      <c r="NLQ45" s="685"/>
      <c r="NLR45" s="685"/>
      <c r="NLS45" s="685"/>
      <c r="NLT45" s="685"/>
      <c r="NLU45" s="685"/>
      <c r="NLV45" s="685"/>
      <c r="NLW45" s="685"/>
      <c r="NLX45" s="685"/>
      <c r="NLY45" s="685"/>
      <c r="NLZ45" s="685"/>
      <c r="NMA45" s="685"/>
      <c r="NMB45" s="685"/>
      <c r="NMC45" s="685"/>
      <c r="NMD45" s="685"/>
      <c r="NME45" s="685"/>
      <c r="NMF45" s="685"/>
      <c r="NMG45" s="685"/>
      <c r="NMH45" s="685"/>
      <c r="NMI45" s="685"/>
      <c r="NMJ45" s="685"/>
      <c r="NMK45" s="685"/>
      <c r="NML45" s="685"/>
      <c r="NMM45" s="685"/>
      <c r="NMN45" s="685"/>
      <c r="NMO45" s="685"/>
      <c r="NMP45" s="685"/>
      <c r="NMQ45" s="685"/>
      <c r="NMR45" s="685"/>
      <c r="NMS45" s="685"/>
      <c r="NMT45" s="685"/>
      <c r="NMU45" s="685"/>
      <c r="NMV45" s="685"/>
      <c r="NMW45" s="685"/>
      <c r="NMX45" s="685"/>
      <c r="NMY45" s="685"/>
      <c r="NMZ45" s="685"/>
      <c r="NNA45" s="685"/>
      <c r="NNB45" s="685"/>
      <c r="NNC45" s="685"/>
      <c r="NND45" s="685"/>
      <c r="NNE45" s="685"/>
      <c r="NNF45" s="685"/>
      <c r="NNG45" s="685"/>
      <c r="NNH45" s="685"/>
      <c r="NNI45" s="685"/>
      <c r="NNJ45" s="685"/>
      <c r="NNK45" s="685"/>
      <c r="NNL45" s="685"/>
      <c r="NNM45" s="685"/>
      <c r="NNN45" s="685"/>
      <c r="NNO45" s="685"/>
      <c r="NNP45" s="685"/>
      <c r="NNQ45" s="685"/>
      <c r="NNR45" s="685"/>
      <c r="NNS45" s="685"/>
      <c r="NNT45" s="685"/>
      <c r="NNU45" s="685"/>
      <c r="NNV45" s="685"/>
      <c r="NNW45" s="685"/>
      <c r="NNX45" s="685"/>
      <c r="NNY45" s="685"/>
      <c r="NNZ45" s="685"/>
      <c r="NOA45" s="685"/>
      <c r="NOB45" s="685"/>
      <c r="NOC45" s="685"/>
      <c r="NOD45" s="685"/>
      <c r="NOE45" s="685"/>
      <c r="NOF45" s="685"/>
      <c r="NOG45" s="685"/>
      <c r="NOH45" s="685"/>
      <c r="NOI45" s="685"/>
      <c r="NOJ45" s="685"/>
      <c r="NOK45" s="685"/>
      <c r="NOL45" s="685"/>
      <c r="NOM45" s="685"/>
      <c r="NON45" s="685"/>
      <c r="NOO45" s="685"/>
      <c r="NOP45" s="685"/>
      <c r="NOQ45" s="685"/>
      <c r="NOR45" s="685"/>
      <c r="NOS45" s="685"/>
      <c r="NOT45" s="685"/>
      <c r="NOU45" s="685"/>
      <c r="NOV45" s="685"/>
      <c r="NOW45" s="685"/>
      <c r="NOX45" s="685"/>
      <c r="NOY45" s="685"/>
      <c r="NOZ45" s="685"/>
      <c r="NPA45" s="685"/>
      <c r="NPB45" s="685"/>
      <c r="NPC45" s="685"/>
      <c r="NPD45" s="685"/>
      <c r="NPE45" s="685"/>
      <c r="NPF45" s="685"/>
      <c r="NPG45" s="685"/>
      <c r="NPH45" s="685"/>
      <c r="NPI45" s="685"/>
      <c r="NPJ45" s="685"/>
      <c r="NPK45" s="685"/>
      <c r="NPL45" s="685"/>
      <c r="NPM45" s="685"/>
      <c r="NPN45" s="685"/>
      <c r="NPO45" s="685"/>
      <c r="NPP45" s="685"/>
      <c r="NPQ45" s="685"/>
      <c r="NPR45" s="685"/>
      <c r="NPS45" s="685"/>
      <c r="NPT45" s="685"/>
      <c r="NPU45" s="685"/>
      <c r="NPV45" s="685"/>
      <c r="NPW45" s="685"/>
      <c r="NPX45" s="685"/>
      <c r="NPY45" s="685"/>
      <c r="NPZ45" s="685"/>
      <c r="NQA45" s="685"/>
      <c r="NQB45" s="685"/>
      <c r="NQC45" s="685"/>
      <c r="NQD45" s="685"/>
      <c r="NQE45" s="685"/>
      <c r="NQF45" s="685"/>
      <c r="NQG45" s="685"/>
      <c r="NQH45" s="685"/>
      <c r="NQI45" s="685"/>
      <c r="NQJ45" s="685"/>
      <c r="NQK45" s="685"/>
      <c r="NQL45" s="685"/>
      <c r="NQM45" s="685"/>
      <c r="NQN45" s="685"/>
      <c r="NQO45" s="685"/>
      <c r="NQP45" s="685"/>
      <c r="NQQ45" s="685"/>
      <c r="NQR45" s="685"/>
      <c r="NQS45" s="685"/>
      <c r="NQT45" s="685"/>
      <c r="NQU45" s="685"/>
      <c r="NQV45" s="685"/>
      <c r="NQW45" s="685"/>
      <c r="NQX45" s="685"/>
      <c r="NQY45" s="685"/>
      <c r="NQZ45" s="685"/>
      <c r="NRA45" s="685"/>
      <c r="NRB45" s="685"/>
      <c r="NRC45" s="685"/>
      <c r="NRD45" s="685"/>
      <c r="NRE45" s="685"/>
      <c r="NRF45" s="685"/>
      <c r="NRG45" s="685"/>
      <c r="NRH45" s="685"/>
      <c r="NRI45" s="685"/>
      <c r="NRJ45" s="685"/>
      <c r="NRK45" s="685"/>
      <c r="NRL45" s="685"/>
      <c r="NRM45" s="685"/>
      <c r="NRN45" s="685"/>
      <c r="NRO45" s="685"/>
      <c r="NRP45" s="685"/>
      <c r="NRQ45" s="685"/>
      <c r="NRR45" s="685"/>
      <c r="NRS45" s="685"/>
      <c r="NRT45" s="685"/>
      <c r="NRU45" s="685"/>
      <c r="NRV45" s="685"/>
      <c r="NRW45" s="685"/>
      <c r="NRX45" s="685"/>
      <c r="NRY45" s="685"/>
      <c r="NRZ45" s="685"/>
      <c r="NSA45" s="685"/>
      <c r="NSB45" s="685"/>
      <c r="NSC45" s="685"/>
      <c r="NSD45" s="685"/>
      <c r="NSE45" s="685"/>
      <c r="NSF45" s="685"/>
      <c r="NSG45" s="685"/>
      <c r="NSH45" s="685"/>
      <c r="NSI45" s="685"/>
      <c r="NSJ45" s="685"/>
      <c r="NSK45" s="685"/>
      <c r="NSL45" s="685"/>
      <c r="NSM45" s="685"/>
      <c r="NSN45" s="685"/>
      <c r="NSO45" s="685"/>
      <c r="NSP45" s="685"/>
      <c r="NSQ45" s="685"/>
      <c r="NSR45" s="685"/>
      <c r="NSS45" s="685"/>
      <c r="NST45" s="685"/>
      <c r="NSU45" s="685"/>
      <c r="NSV45" s="685"/>
      <c r="NSW45" s="685"/>
      <c r="NSX45" s="685"/>
      <c r="NSY45" s="685"/>
      <c r="NSZ45" s="685"/>
      <c r="NTA45" s="685"/>
      <c r="NTB45" s="685"/>
      <c r="NTC45" s="685"/>
      <c r="NTD45" s="685"/>
      <c r="NTE45" s="685"/>
      <c r="NTF45" s="685"/>
      <c r="NTG45" s="685"/>
      <c r="NTH45" s="685"/>
      <c r="NTI45" s="685"/>
      <c r="NTJ45" s="685"/>
      <c r="NTK45" s="685"/>
      <c r="NTL45" s="685"/>
      <c r="NTM45" s="685"/>
      <c r="NTN45" s="685"/>
      <c r="NTO45" s="685"/>
      <c r="NTP45" s="685"/>
      <c r="NTQ45" s="685"/>
      <c r="NTR45" s="685"/>
      <c r="NTS45" s="685"/>
      <c r="NTT45" s="685"/>
      <c r="NTU45" s="685"/>
      <c r="NTV45" s="685"/>
      <c r="NTW45" s="685"/>
      <c r="NTX45" s="685"/>
      <c r="NTY45" s="685"/>
      <c r="NTZ45" s="685"/>
      <c r="NUA45" s="685"/>
      <c r="NUB45" s="685"/>
      <c r="NUC45" s="685"/>
      <c r="NUD45" s="685"/>
      <c r="NUE45" s="685"/>
      <c r="NUF45" s="685"/>
      <c r="NUG45" s="685"/>
      <c r="NUH45" s="685"/>
      <c r="NUI45" s="685"/>
      <c r="NUJ45" s="685"/>
      <c r="NUK45" s="685"/>
      <c r="NUL45" s="685"/>
      <c r="NUM45" s="685"/>
      <c r="NUN45" s="685"/>
      <c r="NUO45" s="685"/>
      <c r="NUP45" s="685"/>
      <c r="NUQ45" s="685"/>
      <c r="NUR45" s="685"/>
      <c r="NUS45" s="685"/>
      <c r="NUT45" s="685"/>
      <c r="NUU45" s="685"/>
      <c r="NUV45" s="685"/>
      <c r="NUW45" s="685"/>
      <c r="NUX45" s="685"/>
      <c r="NUY45" s="685"/>
      <c r="NUZ45" s="685"/>
      <c r="NVA45" s="685"/>
      <c r="NVB45" s="685"/>
      <c r="NVC45" s="685"/>
      <c r="NVD45" s="685"/>
      <c r="NVE45" s="685"/>
      <c r="NVF45" s="685"/>
      <c r="NVG45" s="685"/>
      <c r="NVH45" s="685"/>
      <c r="NVI45" s="685"/>
      <c r="NVJ45" s="685"/>
      <c r="NVK45" s="685"/>
      <c r="NVL45" s="685"/>
      <c r="NVM45" s="685"/>
      <c r="NVN45" s="685"/>
      <c r="NVO45" s="685"/>
      <c r="NVP45" s="685"/>
      <c r="NVQ45" s="685"/>
      <c r="NVR45" s="685"/>
      <c r="NVS45" s="685"/>
      <c r="NVT45" s="685"/>
      <c r="NVU45" s="685"/>
      <c r="NVV45" s="685"/>
      <c r="NVW45" s="685"/>
      <c r="NVX45" s="685"/>
      <c r="NVY45" s="685"/>
      <c r="NVZ45" s="685"/>
      <c r="NWA45" s="685"/>
      <c r="NWB45" s="685"/>
      <c r="NWC45" s="685"/>
      <c r="NWD45" s="685"/>
      <c r="NWE45" s="685"/>
      <c r="NWF45" s="685"/>
      <c r="NWG45" s="685"/>
      <c r="NWH45" s="685"/>
      <c r="NWI45" s="685"/>
      <c r="NWJ45" s="685"/>
      <c r="NWK45" s="685"/>
      <c r="NWL45" s="685"/>
      <c r="NWM45" s="685"/>
      <c r="NWN45" s="685"/>
      <c r="NWO45" s="685"/>
      <c r="NWP45" s="685"/>
      <c r="NWQ45" s="685"/>
      <c r="NWR45" s="685"/>
      <c r="NWS45" s="685"/>
      <c r="NWT45" s="685"/>
      <c r="NWU45" s="685"/>
      <c r="NWV45" s="685"/>
      <c r="NWW45" s="685"/>
      <c r="NWX45" s="685"/>
      <c r="NWY45" s="685"/>
      <c r="NWZ45" s="685"/>
      <c r="NXA45" s="685"/>
      <c r="NXB45" s="685"/>
      <c r="NXC45" s="685"/>
      <c r="NXD45" s="685"/>
      <c r="NXE45" s="685"/>
      <c r="NXF45" s="685"/>
      <c r="NXG45" s="685"/>
      <c r="NXH45" s="685"/>
      <c r="NXI45" s="685"/>
      <c r="NXJ45" s="685"/>
      <c r="NXK45" s="685"/>
      <c r="NXL45" s="685"/>
      <c r="NXM45" s="685"/>
      <c r="NXN45" s="685"/>
      <c r="NXO45" s="685"/>
      <c r="NXP45" s="685"/>
      <c r="NXQ45" s="685"/>
      <c r="NXR45" s="685"/>
      <c r="NXS45" s="685"/>
      <c r="NXT45" s="685"/>
      <c r="NXU45" s="685"/>
      <c r="NXV45" s="685"/>
      <c r="NXW45" s="685"/>
      <c r="NXX45" s="685"/>
      <c r="NXY45" s="685"/>
      <c r="NXZ45" s="685"/>
      <c r="NYA45" s="685"/>
      <c r="NYB45" s="685"/>
      <c r="NYC45" s="685"/>
      <c r="NYD45" s="685"/>
      <c r="NYE45" s="685"/>
      <c r="NYF45" s="685"/>
      <c r="NYG45" s="685"/>
      <c r="NYH45" s="685"/>
      <c r="NYI45" s="685"/>
      <c r="NYJ45" s="685"/>
      <c r="NYK45" s="685"/>
      <c r="NYL45" s="685"/>
      <c r="NYM45" s="685"/>
      <c r="NYN45" s="685"/>
      <c r="NYO45" s="685"/>
      <c r="NYP45" s="685"/>
      <c r="NYQ45" s="685"/>
      <c r="NYR45" s="685"/>
      <c r="NYS45" s="685"/>
      <c r="NYT45" s="685"/>
      <c r="NYU45" s="685"/>
      <c r="NYV45" s="685"/>
      <c r="NYW45" s="685"/>
      <c r="NYX45" s="685"/>
      <c r="NYY45" s="685"/>
      <c r="NYZ45" s="685"/>
      <c r="NZA45" s="685"/>
      <c r="NZB45" s="685"/>
      <c r="NZC45" s="685"/>
      <c r="NZD45" s="685"/>
      <c r="NZE45" s="685"/>
      <c r="NZF45" s="685"/>
      <c r="NZG45" s="685"/>
      <c r="NZH45" s="685"/>
      <c r="NZI45" s="685"/>
      <c r="NZJ45" s="685"/>
      <c r="NZK45" s="685"/>
      <c r="NZL45" s="685"/>
      <c r="NZM45" s="685"/>
      <c r="NZN45" s="685"/>
      <c r="NZO45" s="685"/>
      <c r="NZP45" s="685"/>
      <c r="NZQ45" s="685"/>
      <c r="NZR45" s="685"/>
      <c r="NZS45" s="685"/>
      <c r="NZT45" s="685"/>
      <c r="NZU45" s="685"/>
      <c r="NZV45" s="685"/>
      <c r="NZW45" s="685"/>
      <c r="NZX45" s="685"/>
      <c r="NZY45" s="685"/>
      <c r="NZZ45" s="685"/>
      <c r="OAA45" s="685"/>
      <c r="OAB45" s="685"/>
      <c r="OAC45" s="685"/>
      <c r="OAD45" s="685"/>
      <c r="OAE45" s="685"/>
      <c r="OAF45" s="685"/>
      <c r="OAG45" s="685"/>
      <c r="OAH45" s="685"/>
      <c r="OAI45" s="685"/>
      <c r="OAJ45" s="685"/>
      <c r="OAK45" s="685"/>
      <c r="OAL45" s="685"/>
      <c r="OAM45" s="685"/>
      <c r="OAN45" s="685"/>
      <c r="OAO45" s="685"/>
      <c r="OAP45" s="685"/>
      <c r="OAQ45" s="685"/>
      <c r="OAR45" s="685"/>
      <c r="OAS45" s="685"/>
      <c r="OAT45" s="685"/>
      <c r="OAU45" s="685"/>
      <c r="OAV45" s="685"/>
      <c r="OAW45" s="685"/>
      <c r="OAX45" s="685"/>
      <c r="OAY45" s="685"/>
      <c r="OAZ45" s="685"/>
      <c r="OBA45" s="685"/>
      <c r="OBB45" s="685"/>
      <c r="OBC45" s="685"/>
      <c r="OBD45" s="685"/>
      <c r="OBE45" s="685"/>
      <c r="OBF45" s="685"/>
      <c r="OBG45" s="685"/>
      <c r="OBH45" s="685"/>
      <c r="OBI45" s="685"/>
      <c r="OBJ45" s="685"/>
      <c r="OBK45" s="685"/>
      <c r="OBL45" s="685"/>
      <c r="OBM45" s="685"/>
      <c r="OBN45" s="685"/>
      <c r="OBO45" s="685"/>
      <c r="OBP45" s="685"/>
      <c r="OBQ45" s="685"/>
      <c r="OBR45" s="685"/>
      <c r="OBS45" s="685"/>
      <c r="OBT45" s="685"/>
      <c r="OBU45" s="685"/>
      <c r="OBV45" s="685"/>
      <c r="OBW45" s="685"/>
      <c r="OBX45" s="685"/>
      <c r="OBY45" s="685"/>
      <c r="OBZ45" s="685"/>
      <c r="OCA45" s="685"/>
      <c r="OCB45" s="685"/>
      <c r="OCC45" s="685"/>
      <c r="OCD45" s="685"/>
      <c r="OCE45" s="685"/>
      <c r="OCF45" s="685"/>
      <c r="OCG45" s="685"/>
      <c r="OCH45" s="685"/>
      <c r="OCI45" s="685"/>
      <c r="OCJ45" s="685"/>
      <c r="OCK45" s="685"/>
      <c r="OCL45" s="685"/>
      <c r="OCM45" s="685"/>
      <c r="OCN45" s="685"/>
      <c r="OCO45" s="685"/>
      <c r="OCP45" s="685"/>
      <c r="OCQ45" s="685"/>
      <c r="OCR45" s="685"/>
      <c r="OCS45" s="685"/>
      <c r="OCT45" s="685"/>
      <c r="OCU45" s="685"/>
      <c r="OCV45" s="685"/>
      <c r="OCW45" s="685"/>
      <c r="OCX45" s="685"/>
      <c r="OCY45" s="685"/>
      <c r="OCZ45" s="685"/>
      <c r="ODA45" s="685"/>
      <c r="ODB45" s="685"/>
      <c r="ODC45" s="685"/>
      <c r="ODD45" s="685"/>
      <c r="ODE45" s="685"/>
      <c r="ODF45" s="685"/>
      <c r="ODG45" s="685"/>
      <c r="ODH45" s="685"/>
      <c r="ODI45" s="685"/>
      <c r="ODJ45" s="685"/>
      <c r="ODK45" s="685"/>
      <c r="ODL45" s="685"/>
      <c r="ODM45" s="685"/>
      <c r="ODN45" s="685"/>
      <c r="ODO45" s="685"/>
      <c r="ODP45" s="685"/>
      <c r="ODQ45" s="685"/>
      <c r="ODR45" s="685"/>
      <c r="ODS45" s="685"/>
      <c r="ODT45" s="685"/>
      <c r="ODU45" s="685"/>
      <c r="ODV45" s="685"/>
      <c r="ODW45" s="685"/>
      <c r="ODX45" s="685"/>
      <c r="ODY45" s="685"/>
      <c r="ODZ45" s="685"/>
      <c r="OEA45" s="685"/>
      <c r="OEB45" s="685"/>
      <c r="OEC45" s="685"/>
      <c r="OED45" s="685"/>
      <c r="OEE45" s="685"/>
      <c r="OEF45" s="685"/>
      <c r="OEG45" s="685"/>
      <c r="OEH45" s="685"/>
      <c r="OEI45" s="685"/>
      <c r="OEJ45" s="685"/>
      <c r="OEK45" s="685"/>
      <c r="OEL45" s="685"/>
      <c r="OEM45" s="685"/>
      <c r="OEN45" s="685"/>
      <c r="OEO45" s="685"/>
      <c r="OEP45" s="685"/>
      <c r="OEQ45" s="685"/>
      <c r="OER45" s="685"/>
      <c r="OES45" s="685"/>
      <c r="OET45" s="685"/>
      <c r="OEU45" s="685"/>
      <c r="OEV45" s="685"/>
      <c r="OEW45" s="685"/>
      <c r="OEX45" s="685"/>
      <c r="OEY45" s="685"/>
      <c r="OEZ45" s="685"/>
      <c r="OFA45" s="685"/>
      <c r="OFB45" s="685"/>
      <c r="OFC45" s="685"/>
      <c r="OFD45" s="685"/>
      <c r="OFE45" s="685"/>
      <c r="OFF45" s="685"/>
      <c r="OFG45" s="685"/>
      <c r="OFH45" s="685"/>
      <c r="OFI45" s="685"/>
      <c r="OFJ45" s="685"/>
      <c r="OFK45" s="685"/>
      <c r="OFL45" s="685"/>
      <c r="OFM45" s="685"/>
      <c r="OFN45" s="685"/>
      <c r="OFO45" s="685"/>
      <c r="OFP45" s="685"/>
      <c r="OFQ45" s="685"/>
      <c r="OFR45" s="685"/>
      <c r="OFS45" s="685"/>
      <c r="OFT45" s="685"/>
      <c r="OFU45" s="685"/>
      <c r="OFV45" s="685"/>
      <c r="OFW45" s="685"/>
      <c r="OFX45" s="685"/>
      <c r="OFY45" s="685"/>
      <c r="OFZ45" s="685"/>
      <c r="OGA45" s="685"/>
      <c r="OGB45" s="685"/>
      <c r="OGC45" s="685"/>
      <c r="OGD45" s="685"/>
      <c r="OGE45" s="685"/>
      <c r="OGF45" s="685"/>
      <c r="OGG45" s="685"/>
      <c r="OGH45" s="685"/>
      <c r="OGI45" s="685"/>
      <c r="OGJ45" s="685"/>
      <c r="OGK45" s="685"/>
      <c r="OGL45" s="685"/>
      <c r="OGM45" s="685"/>
      <c r="OGN45" s="685"/>
      <c r="OGO45" s="685"/>
      <c r="OGP45" s="685"/>
      <c r="OGQ45" s="685"/>
      <c r="OGR45" s="685"/>
      <c r="OGS45" s="685"/>
      <c r="OGT45" s="685"/>
      <c r="OGU45" s="685"/>
      <c r="OGV45" s="685"/>
      <c r="OGW45" s="685"/>
      <c r="OGX45" s="685"/>
      <c r="OGY45" s="685"/>
      <c r="OGZ45" s="685"/>
      <c r="OHA45" s="685"/>
      <c r="OHB45" s="685"/>
      <c r="OHC45" s="685"/>
      <c r="OHD45" s="685"/>
      <c r="OHE45" s="685"/>
      <c r="OHF45" s="685"/>
      <c r="OHG45" s="685"/>
      <c r="OHH45" s="685"/>
      <c r="OHI45" s="685"/>
      <c r="OHJ45" s="685"/>
      <c r="OHK45" s="685"/>
      <c r="OHL45" s="685"/>
      <c r="OHM45" s="685"/>
      <c r="OHN45" s="685"/>
      <c r="OHO45" s="685"/>
      <c r="OHP45" s="685"/>
      <c r="OHQ45" s="685"/>
      <c r="OHR45" s="685"/>
      <c r="OHS45" s="685"/>
      <c r="OHT45" s="685"/>
      <c r="OHU45" s="685"/>
      <c r="OHV45" s="685"/>
      <c r="OHW45" s="685"/>
      <c r="OHX45" s="685"/>
      <c r="OHY45" s="685"/>
      <c r="OHZ45" s="685"/>
      <c r="OIA45" s="685"/>
      <c r="OIB45" s="685"/>
      <c r="OIC45" s="685"/>
      <c r="OID45" s="685"/>
      <c r="OIE45" s="685"/>
      <c r="OIF45" s="685"/>
      <c r="OIG45" s="685"/>
      <c r="OIH45" s="685"/>
      <c r="OII45" s="685"/>
      <c r="OIJ45" s="685"/>
      <c r="OIK45" s="685"/>
      <c r="OIL45" s="685"/>
      <c r="OIM45" s="685"/>
      <c r="OIN45" s="685"/>
      <c r="OIO45" s="685"/>
      <c r="OIP45" s="685"/>
      <c r="OIQ45" s="685"/>
      <c r="OIR45" s="685"/>
      <c r="OIS45" s="685"/>
      <c r="OIT45" s="685"/>
      <c r="OIU45" s="685"/>
      <c r="OIV45" s="685"/>
      <c r="OIW45" s="685"/>
      <c r="OIX45" s="685"/>
      <c r="OIY45" s="685"/>
      <c r="OIZ45" s="685"/>
      <c r="OJA45" s="685"/>
      <c r="OJB45" s="685"/>
      <c r="OJC45" s="685"/>
      <c r="OJD45" s="685"/>
      <c r="OJE45" s="685"/>
      <c r="OJF45" s="685"/>
      <c r="OJG45" s="685"/>
      <c r="OJH45" s="685"/>
      <c r="OJI45" s="685"/>
      <c r="OJJ45" s="685"/>
      <c r="OJK45" s="685"/>
      <c r="OJL45" s="685"/>
      <c r="OJM45" s="685"/>
      <c r="OJN45" s="685"/>
      <c r="OJO45" s="685"/>
      <c r="OJP45" s="685"/>
      <c r="OJQ45" s="685"/>
      <c r="OJR45" s="685"/>
      <c r="OJS45" s="685"/>
      <c r="OJT45" s="685"/>
      <c r="OJU45" s="685"/>
      <c r="OJV45" s="685"/>
      <c r="OJW45" s="685"/>
      <c r="OJX45" s="685"/>
      <c r="OJY45" s="685"/>
      <c r="OJZ45" s="685"/>
      <c r="OKA45" s="685"/>
      <c r="OKB45" s="685"/>
      <c r="OKC45" s="685"/>
      <c r="OKD45" s="685"/>
      <c r="OKE45" s="685"/>
      <c r="OKF45" s="685"/>
      <c r="OKG45" s="685"/>
      <c r="OKH45" s="685"/>
      <c r="OKI45" s="685"/>
      <c r="OKJ45" s="685"/>
      <c r="OKK45" s="685"/>
      <c r="OKL45" s="685"/>
      <c r="OKM45" s="685"/>
      <c r="OKN45" s="685"/>
      <c r="OKO45" s="685"/>
      <c r="OKP45" s="685"/>
      <c r="OKQ45" s="685"/>
      <c r="OKR45" s="685"/>
      <c r="OKS45" s="685"/>
      <c r="OKT45" s="685"/>
      <c r="OKU45" s="685"/>
      <c r="OKV45" s="685"/>
      <c r="OKW45" s="685"/>
      <c r="OKX45" s="685"/>
      <c r="OKY45" s="685"/>
      <c r="OKZ45" s="685"/>
      <c r="OLA45" s="685"/>
      <c r="OLB45" s="685"/>
      <c r="OLC45" s="685"/>
      <c r="OLD45" s="685"/>
      <c r="OLE45" s="685"/>
      <c r="OLF45" s="685"/>
      <c r="OLG45" s="685"/>
      <c r="OLH45" s="685"/>
      <c r="OLI45" s="685"/>
      <c r="OLJ45" s="685"/>
      <c r="OLK45" s="685"/>
      <c r="OLL45" s="685"/>
      <c r="OLM45" s="685"/>
      <c r="OLN45" s="685"/>
      <c r="OLO45" s="685"/>
      <c r="OLP45" s="685"/>
      <c r="OLQ45" s="685"/>
      <c r="OLR45" s="685"/>
      <c r="OLS45" s="685"/>
      <c r="OLT45" s="685"/>
      <c r="OLU45" s="685"/>
      <c r="OLV45" s="685"/>
      <c r="OLW45" s="685"/>
      <c r="OLX45" s="685"/>
      <c r="OLY45" s="685"/>
      <c r="OLZ45" s="685"/>
      <c r="OMA45" s="685"/>
      <c r="OMB45" s="685"/>
      <c r="OMC45" s="685"/>
      <c r="OMD45" s="685"/>
      <c r="OME45" s="685"/>
      <c r="OMF45" s="685"/>
      <c r="OMG45" s="685"/>
      <c r="OMH45" s="685"/>
      <c r="OMI45" s="685"/>
      <c r="OMJ45" s="685"/>
      <c r="OMK45" s="685"/>
      <c r="OML45" s="685"/>
      <c r="OMM45" s="685"/>
      <c r="OMN45" s="685"/>
      <c r="OMO45" s="685"/>
      <c r="OMP45" s="685"/>
      <c r="OMQ45" s="685"/>
      <c r="OMR45" s="685"/>
      <c r="OMS45" s="685"/>
      <c r="OMT45" s="685"/>
      <c r="OMU45" s="685"/>
      <c r="OMV45" s="685"/>
      <c r="OMW45" s="685"/>
      <c r="OMX45" s="685"/>
      <c r="OMY45" s="685"/>
      <c r="OMZ45" s="685"/>
      <c r="ONA45" s="685"/>
      <c r="ONB45" s="685"/>
      <c r="ONC45" s="685"/>
      <c r="OND45" s="685"/>
      <c r="ONE45" s="685"/>
      <c r="ONF45" s="685"/>
      <c r="ONG45" s="685"/>
      <c r="ONH45" s="685"/>
      <c r="ONI45" s="685"/>
      <c r="ONJ45" s="685"/>
      <c r="ONK45" s="685"/>
      <c r="ONL45" s="685"/>
      <c r="ONM45" s="685"/>
      <c r="ONN45" s="685"/>
      <c r="ONO45" s="685"/>
      <c r="ONP45" s="685"/>
      <c r="ONQ45" s="685"/>
      <c r="ONR45" s="685"/>
      <c r="ONS45" s="685"/>
      <c r="ONT45" s="685"/>
      <c r="ONU45" s="685"/>
      <c r="ONV45" s="685"/>
      <c r="ONW45" s="685"/>
      <c r="ONX45" s="685"/>
      <c r="ONY45" s="685"/>
      <c r="ONZ45" s="685"/>
      <c r="OOA45" s="685"/>
      <c r="OOB45" s="685"/>
      <c r="OOC45" s="685"/>
      <c r="OOD45" s="685"/>
      <c r="OOE45" s="685"/>
      <c r="OOF45" s="685"/>
      <c r="OOG45" s="685"/>
      <c r="OOH45" s="685"/>
      <c r="OOI45" s="685"/>
      <c r="OOJ45" s="685"/>
      <c r="OOK45" s="685"/>
      <c r="OOL45" s="685"/>
      <c r="OOM45" s="685"/>
      <c r="OON45" s="685"/>
      <c r="OOO45" s="685"/>
      <c r="OOP45" s="685"/>
      <c r="OOQ45" s="685"/>
      <c r="OOR45" s="685"/>
      <c r="OOS45" s="685"/>
      <c r="OOT45" s="685"/>
      <c r="OOU45" s="685"/>
      <c r="OOV45" s="685"/>
      <c r="OOW45" s="685"/>
      <c r="OOX45" s="685"/>
      <c r="OOY45" s="685"/>
      <c r="OOZ45" s="685"/>
      <c r="OPA45" s="685"/>
      <c r="OPB45" s="685"/>
      <c r="OPC45" s="685"/>
      <c r="OPD45" s="685"/>
      <c r="OPE45" s="685"/>
      <c r="OPF45" s="685"/>
      <c r="OPG45" s="685"/>
      <c r="OPH45" s="685"/>
      <c r="OPI45" s="685"/>
      <c r="OPJ45" s="685"/>
      <c r="OPK45" s="685"/>
      <c r="OPL45" s="685"/>
      <c r="OPM45" s="685"/>
      <c r="OPN45" s="685"/>
      <c r="OPO45" s="685"/>
      <c r="OPP45" s="685"/>
      <c r="OPQ45" s="685"/>
      <c r="OPR45" s="685"/>
      <c r="OPS45" s="685"/>
      <c r="OPT45" s="685"/>
      <c r="OPU45" s="685"/>
      <c r="OPV45" s="685"/>
      <c r="OPW45" s="685"/>
      <c r="OPX45" s="685"/>
      <c r="OPY45" s="685"/>
      <c r="OPZ45" s="685"/>
      <c r="OQA45" s="685"/>
      <c r="OQB45" s="685"/>
      <c r="OQC45" s="685"/>
      <c r="OQD45" s="685"/>
      <c r="OQE45" s="685"/>
      <c r="OQF45" s="685"/>
      <c r="OQG45" s="685"/>
      <c r="OQH45" s="685"/>
      <c r="OQI45" s="685"/>
      <c r="OQJ45" s="685"/>
      <c r="OQK45" s="685"/>
      <c r="OQL45" s="685"/>
      <c r="OQM45" s="685"/>
      <c r="OQN45" s="685"/>
      <c r="OQO45" s="685"/>
      <c r="OQP45" s="685"/>
      <c r="OQQ45" s="685"/>
      <c r="OQR45" s="685"/>
      <c r="OQS45" s="685"/>
      <c r="OQT45" s="685"/>
      <c r="OQU45" s="685"/>
      <c r="OQV45" s="685"/>
      <c r="OQW45" s="685"/>
      <c r="OQX45" s="685"/>
      <c r="OQY45" s="685"/>
      <c r="OQZ45" s="685"/>
      <c r="ORA45" s="685"/>
      <c r="ORB45" s="685"/>
      <c r="ORC45" s="685"/>
      <c r="ORD45" s="685"/>
      <c r="ORE45" s="685"/>
      <c r="ORF45" s="685"/>
      <c r="ORG45" s="685"/>
      <c r="ORH45" s="685"/>
      <c r="ORI45" s="685"/>
      <c r="ORJ45" s="685"/>
      <c r="ORK45" s="685"/>
      <c r="ORL45" s="685"/>
      <c r="ORM45" s="685"/>
      <c r="ORN45" s="685"/>
      <c r="ORO45" s="685"/>
      <c r="ORP45" s="685"/>
      <c r="ORQ45" s="685"/>
      <c r="ORR45" s="685"/>
      <c r="ORS45" s="685"/>
      <c r="ORT45" s="685"/>
      <c r="ORU45" s="685"/>
      <c r="ORV45" s="685"/>
      <c r="ORW45" s="685"/>
      <c r="ORX45" s="685"/>
      <c r="ORY45" s="685"/>
      <c r="ORZ45" s="685"/>
      <c r="OSA45" s="685"/>
      <c r="OSB45" s="685"/>
      <c r="OSC45" s="685"/>
      <c r="OSD45" s="685"/>
      <c r="OSE45" s="685"/>
      <c r="OSF45" s="685"/>
      <c r="OSG45" s="685"/>
      <c r="OSH45" s="685"/>
      <c r="OSI45" s="685"/>
      <c r="OSJ45" s="685"/>
      <c r="OSK45" s="685"/>
      <c r="OSL45" s="685"/>
      <c r="OSM45" s="685"/>
      <c r="OSN45" s="685"/>
      <c r="OSO45" s="685"/>
      <c r="OSP45" s="685"/>
      <c r="OSQ45" s="685"/>
      <c r="OSR45" s="685"/>
      <c r="OSS45" s="685"/>
      <c r="OST45" s="685"/>
      <c r="OSU45" s="685"/>
      <c r="OSV45" s="685"/>
      <c r="OSW45" s="685"/>
      <c r="OSX45" s="685"/>
      <c r="OSY45" s="685"/>
      <c r="OSZ45" s="685"/>
      <c r="OTA45" s="685"/>
      <c r="OTB45" s="685"/>
      <c r="OTC45" s="685"/>
      <c r="OTD45" s="685"/>
      <c r="OTE45" s="685"/>
      <c r="OTF45" s="685"/>
      <c r="OTG45" s="685"/>
      <c r="OTH45" s="685"/>
      <c r="OTI45" s="685"/>
      <c r="OTJ45" s="685"/>
      <c r="OTK45" s="685"/>
      <c r="OTL45" s="685"/>
      <c r="OTM45" s="685"/>
      <c r="OTN45" s="685"/>
      <c r="OTO45" s="685"/>
      <c r="OTP45" s="685"/>
      <c r="OTQ45" s="685"/>
      <c r="OTR45" s="685"/>
      <c r="OTS45" s="685"/>
      <c r="OTT45" s="685"/>
      <c r="OTU45" s="685"/>
      <c r="OTV45" s="685"/>
      <c r="OTW45" s="685"/>
      <c r="OTX45" s="685"/>
      <c r="OTY45" s="685"/>
      <c r="OTZ45" s="685"/>
      <c r="OUA45" s="685"/>
      <c r="OUB45" s="685"/>
      <c r="OUC45" s="685"/>
      <c r="OUD45" s="685"/>
      <c r="OUE45" s="685"/>
      <c r="OUF45" s="685"/>
      <c r="OUG45" s="685"/>
      <c r="OUH45" s="685"/>
      <c r="OUI45" s="685"/>
      <c r="OUJ45" s="685"/>
      <c r="OUK45" s="685"/>
      <c r="OUL45" s="685"/>
      <c r="OUM45" s="685"/>
      <c r="OUN45" s="685"/>
      <c r="OUO45" s="685"/>
      <c r="OUP45" s="685"/>
      <c r="OUQ45" s="685"/>
      <c r="OUR45" s="685"/>
      <c r="OUS45" s="685"/>
      <c r="OUT45" s="685"/>
      <c r="OUU45" s="685"/>
      <c r="OUV45" s="685"/>
      <c r="OUW45" s="685"/>
      <c r="OUX45" s="685"/>
      <c r="OUY45" s="685"/>
      <c r="OUZ45" s="685"/>
      <c r="OVA45" s="685"/>
      <c r="OVB45" s="685"/>
      <c r="OVC45" s="685"/>
      <c r="OVD45" s="685"/>
      <c r="OVE45" s="685"/>
      <c r="OVF45" s="685"/>
      <c r="OVG45" s="685"/>
      <c r="OVH45" s="685"/>
      <c r="OVI45" s="685"/>
      <c r="OVJ45" s="685"/>
      <c r="OVK45" s="685"/>
      <c r="OVL45" s="685"/>
      <c r="OVM45" s="685"/>
      <c r="OVN45" s="685"/>
      <c r="OVO45" s="685"/>
      <c r="OVP45" s="685"/>
      <c r="OVQ45" s="685"/>
      <c r="OVR45" s="685"/>
      <c r="OVS45" s="685"/>
      <c r="OVT45" s="685"/>
      <c r="OVU45" s="685"/>
      <c r="OVV45" s="685"/>
      <c r="OVW45" s="685"/>
      <c r="OVX45" s="685"/>
      <c r="OVY45" s="685"/>
      <c r="OVZ45" s="685"/>
      <c r="OWA45" s="685"/>
      <c r="OWB45" s="685"/>
      <c r="OWC45" s="685"/>
      <c r="OWD45" s="685"/>
      <c r="OWE45" s="685"/>
      <c r="OWF45" s="685"/>
      <c r="OWG45" s="685"/>
      <c r="OWH45" s="685"/>
      <c r="OWI45" s="685"/>
      <c r="OWJ45" s="685"/>
      <c r="OWK45" s="685"/>
      <c r="OWL45" s="685"/>
      <c r="OWM45" s="685"/>
      <c r="OWN45" s="685"/>
      <c r="OWO45" s="685"/>
      <c r="OWP45" s="685"/>
      <c r="OWQ45" s="685"/>
      <c r="OWR45" s="685"/>
      <c r="OWS45" s="685"/>
      <c r="OWT45" s="685"/>
      <c r="OWU45" s="685"/>
      <c r="OWV45" s="685"/>
      <c r="OWW45" s="685"/>
      <c r="OWX45" s="685"/>
      <c r="OWY45" s="685"/>
      <c r="OWZ45" s="685"/>
      <c r="OXA45" s="685"/>
      <c r="OXB45" s="685"/>
      <c r="OXC45" s="685"/>
      <c r="OXD45" s="685"/>
      <c r="OXE45" s="685"/>
      <c r="OXF45" s="685"/>
      <c r="OXG45" s="685"/>
      <c r="OXH45" s="685"/>
      <c r="OXI45" s="685"/>
      <c r="OXJ45" s="685"/>
      <c r="OXK45" s="685"/>
      <c r="OXL45" s="685"/>
      <c r="OXM45" s="685"/>
      <c r="OXN45" s="685"/>
      <c r="OXO45" s="685"/>
      <c r="OXP45" s="685"/>
      <c r="OXQ45" s="685"/>
      <c r="OXR45" s="685"/>
      <c r="OXS45" s="685"/>
      <c r="OXT45" s="685"/>
      <c r="OXU45" s="685"/>
      <c r="OXV45" s="685"/>
      <c r="OXW45" s="685"/>
      <c r="OXX45" s="685"/>
      <c r="OXY45" s="685"/>
      <c r="OXZ45" s="685"/>
      <c r="OYA45" s="685"/>
      <c r="OYB45" s="685"/>
      <c r="OYC45" s="685"/>
      <c r="OYD45" s="685"/>
      <c r="OYE45" s="685"/>
      <c r="OYF45" s="685"/>
      <c r="OYG45" s="685"/>
      <c r="OYH45" s="685"/>
      <c r="OYI45" s="685"/>
      <c r="OYJ45" s="685"/>
      <c r="OYK45" s="685"/>
      <c r="OYL45" s="685"/>
      <c r="OYM45" s="685"/>
      <c r="OYN45" s="685"/>
      <c r="OYO45" s="685"/>
      <c r="OYP45" s="685"/>
      <c r="OYQ45" s="685"/>
      <c r="OYR45" s="685"/>
      <c r="OYS45" s="685"/>
      <c r="OYT45" s="685"/>
      <c r="OYU45" s="685"/>
      <c r="OYV45" s="685"/>
      <c r="OYW45" s="685"/>
      <c r="OYX45" s="685"/>
      <c r="OYY45" s="685"/>
      <c r="OYZ45" s="685"/>
      <c r="OZA45" s="685"/>
      <c r="OZB45" s="685"/>
      <c r="OZC45" s="685"/>
      <c r="OZD45" s="685"/>
      <c r="OZE45" s="685"/>
      <c r="OZF45" s="685"/>
      <c r="OZG45" s="685"/>
      <c r="OZH45" s="685"/>
      <c r="OZI45" s="685"/>
      <c r="OZJ45" s="685"/>
      <c r="OZK45" s="685"/>
      <c r="OZL45" s="685"/>
      <c r="OZM45" s="685"/>
      <c r="OZN45" s="685"/>
      <c r="OZO45" s="685"/>
      <c r="OZP45" s="685"/>
      <c r="OZQ45" s="685"/>
      <c r="OZR45" s="685"/>
      <c r="OZS45" s="685"/>
      <c r="OZT45" s="685"/>
      <c r="OZU45" s="685"/>
      <c r="OZV45" s="685"/>
      <c r="OZW45" s="685"/>
      <c r="OZX45" s="685"/>
      <c r="OZY45" s="685"/>
      <c r="OZZ45" s="685"/>
      <c r="PAA45" s="685"/>
      <c r="PAB45" s="685"/>
      <c r="PAC45" s="685"/>
      <c r="PAD45" s="685"/>
      <c r="PAE45" s="685"/>
      <c r="PAF45" s="685"/>
      <c r="PAG45" s="685"/>
      <c r="PAH45" s="685"/>
      <c r="PAI45" s="685"/>
      <c r="PAJ45" s="685"/>
      <c r="PAK45" s="685"/>
      <c r="PAL45" s="685"/>
      <c r="PAM45" s="685"/>
      <c r="PAN45" s="685"/>
      <c r="PAO45" s="685"/>
      <c r="PAP45" s="685"/>
      <c r="PAQ45" s="685"/>
      <c r="PAR45" s="685"/>
      <c r="PAS45" s="685"/>
      <c r="PAT45" s="685"/>
      <c r="PAU45" s="685"/>
      <c r="PAV45" s="685"/>
      <c r="PAW45" s="685"/>
      <c r="PAX45" s="685"/>
      <c r="PAY45" s="685"/>
      <c r="PAZ45" s="685"/>
      <c r="PBA45" s="685"/>
      <c r="PBB45" s="685"/>
      <c r="PBC45" s="685"/>
      <c r="PBD45" s="685"/>
      <c r="PBE45" s="685"/>
      <c r="PBF45" s="685"/>
      <c r="PBG45" s="685"/>
      <c r="PBH45" s="685"/>
      <c r="PBI45" s="685"/>
      <c r="PBJ45" s="685"/>
      <c r="PBK45" s="685"/>
      <c r="PBL45" s="685"/>
      <c r="PBM45" s="685"/>
      <c r="PBN45" s="685"/>
      <c r="PBO45" s="685"/>
      <c r="PBP45" s="685"/>
      <c r="PBQ45" s="685"/>
      <c r="PBR45" s="685"/>
      <c r="PBS45" s="685"/>
      <c r="PBT45" s="685"/>
      <c r="PBU45" s="685"/>
      <c r="PBV45" s="685"/>
      <c r="PBW45" s="685"/>
      <c r="PBX45" s="685"/>
      <c r="PBY45" s="685"/>
      <c r="PBZ45" s="685"/>
      <c r="PCA45" s="685"/>
      <c r="PCB45" s="685"/>
      <c r="PCC45" s="685"/>
      <c r="PCD45" s="685"/>
      <c r="PCE45" s="685"/>
      <c r="PCF45" s="685"/>
      <c r="PCG45" s="685"/>
      <c r="PCH45" s="685"/>
      <c r="PCI45" s="685"/>
      <c r="PCJ45" s="685"/>
      <c r="PCK45" s="685"/>
      <c r="PCL45" s="685"/>
      <c r="PCM45" s="685"/>
      <c r="PCN45" s="685"/>
      <c r="PCO45" s="685"/>
      <c r="PCP45" s="685"/>
      <c r="PCQ45" s="685"/>
      <c r="PCR45" s="685"/>
      <c r="PCS45" s="685"/>
      <c r="PCT45" s="685"/>
      <c r="PCU45" s="685"/>
      <c r="PCV45" s="685"/>
      <c r="PCW45" s="685"/>
      <c r="PCX45" s="685"/>
      <c r="PCY45" s="685"/>
      <c r="PCZ45" s="685"/>
      <c r="PDA45" s="685"/>
      <c r="PDB45" s="685"/>
      <c r="PDC45" s="685"/>
      <c r="PDD45" s="685"/>
      <c r="PDE45" s="685"/>
      <c r="PDF45" s="685"/>
      <c r="PDG45" s="685"/>
      <c r="PDH45" s="685"/>
      <c r="PDI45" s="685"/>
      <c r="PDJ45" s="685"/>
      <c r="PDK45" s="685"/>
      <c r="PDL45" s="685"/>
      <c r="PDM45" s="685"/>
      <c r="PDN45" s="685"/>
      <c r="PDO45" s="685"/>
      <c r="PDP45" s="685"/>
      <c r="PDQ45" s="685"/>
      <c r="PDR45" s="685"/>
      <c r="PDS45" s="685"/>
      <c r="PDT45" s="685"/>
      <c r="PDU45" s="685"/>
      <c r="PDV45" s="685"/>
      <c r="PDW45" s="685"/>
      <c r="PDX45" s="685"/>
      <c r="PDY45" s="685"/>
      <c r="PDZ45" s="685"/>
      <c r="PEA45" s="685"/>
      <c r="PEB45" s="685"/>
      <c r="PEC45" s="685"/>
      <c r="PED45" s="685"/>
      <c r="PEE45" s="685"/>
      <c r="PEF45" s="685"/>
      <c r="PEG45" s="685"/>
      <c r="PEH45" s="685"/>
      <c r="PEI45" s="685"/>
      <c r="PEJ45" s="685"/>
      <c r="PEK45" s="685"/>
      <c r="PEL45" s="685"/>
      <c r="PEM45" s="685"/>
      <c r="PEN45" s="685"/>
      <c r="PEO45" s="685"/>
      <c r="PEP45" s="685"/>
      <c r="PEQ45" s="685"/>
      <c r="PER45" s="685"/>
      <c r="PES45" s="685"/>
      <c r="PET45" s="685"/>
      <c r="PEU45" s="685"/>
      <c r="PEV45" s="685"/>
      <c r="PEW45" s="685"/>
      <c r="PEX45" s="685"/>
      <c r="PEY45" s="685"/>
      <c r="PEZ45" s="685"/>
      <c r="PFA45" s="685"/>
      <c r="PFB45" s="685"/>
      <c r="PFC45" s="685"/>
      <c r="PFD45" s="685"/>
      <c r="PFE45" s="685"/>
      <c r="PFF45" s="685"/>
      <c r="PFG45" s="685"/>
      <c r="PFH45" s="685"/>
      <c r="PFI45" s="685"/>
      <c r="PFJ45" s="685"/>
      <c r="PFK45" s="685"/>
      <c r="PFL45" s="685"/>
      <c r="PFM45" s="685"/>
      <c r="PFN45" s="685"/>
      <c r="PFO45" s="685"/>
      <c r="PFP45" s="685"/>
      <c r="PFQ45" s="685"/>
      <c r="PFR45" s="685"/>
      <c r="PFS45" s="685"/>
      <c r="PFT45" s="685"/>
      <c r="PFU45" s="685"/>
      <c r="PFV45" s="685"/>
      <c r="PFW45" s="685"/>
      <c r="PFX45" s="685"/>
      <c r="PFY45" s="685"/>
      <c r="PFZ45" s="685"/>
      <c r="PGA45" s="685"/>
      <c r="PGB45" s="685"/>
      <c r="PGC45" s="685"/>
      <c r="PGD45" s="685"/>
      <c r="PGE45" s="685"/>
      <c r="PGF45" s="685"/>
      <c r="PGG45" s="685"/>
      <c r="PGH45" s="685"/>
      <c r="PGI45" s="685"/>
      <c r="PGJ45" s="685"/>
      <c r="PGK45" s="685"/>
      <c r="PGL45" s="685"/>
      <c r="PGM45" s="685"/>
      <c r="PGN45" s="685"/>
      <c r="PGO45" s="685"/>
      <c r="PGP45" s="685"/>
      <c r="PGQ45" s="685"/>
      <c r="PGR45" s="685"/>
      <c r="PGS45" s="685"/>
      <c r="PGT45" s="685"/>
      <c r="PGU45" s="685"/>
      <c r="PGV45" s="685"/>
      <c r="PGW45" s="685"/>
      <c r="PGX45" s="685"/>
      <c r="PGY45" s="685"/>
      <c r="PGZ45" s="685"/>
      <c r="PHA45" s="685"/>
      <c r="PHB45" s="685"/>
      <c r="PHC45" s="685"/>
      <c r="PHD45" s="685"/>
      <c r="PHE45" s="685"/>
      <c r="PHF45" s="685"/>
      <c r="PHG45" s="685"/>
      <c r="PHH45" s="685"/>
      <c r="PHI45" s="685"/>
      <c r="PHJ45" s="685"/>
      <c r="PHK45" s="685"/>
      <c r="PHL45" s="685"/>
      <c r="PHM45" s="685"/>
      <c r="PHN45" s="685"/>
      <c r="PHO45" s="685"/>
      <c r="PHP45" s="685"/>
      <c r="PHQ45" s="685"/>
      <c r="PHR45" s="685"/>
      <c r="PHS45" s="685"/>
      <c r="PHT45" s="685"/>
      <c r="PHU45" s="685"/>
      <c r="PHV45" s="685"/>
      <c r="PHW45" s="685"/>
      <c r="PHX45" s="685"/>
      <c r="PHY45" s="685"/>
      <c r="PHZ45" s="685"/>
      <c r="PIA45" s="685"/>
      <c r="PIB45" s="685"/>
      <c r="PIC45" s="685"/>
      <c r="PID45" s="685"/>
      <c r="PIE45" s="685"/>
      <c r="PIF45" s="685"/>
      <c r="PIG45" s="685"/>
      <c r="PIH45" s="685"/>
      <c r="PII45" s="685"/>
      <c r="PIJ45" s="685"/>
      <c r="PIK45" s="685"/>
      <c r="PIL45" s="685"/>
      <c r="PIM45" s="685"/>
      <c r="PIN45" s="685"/>
      <c r="PIO45" s="685"/>
      <c r="PIP45" s="685"/>
      <c r="PIQ45" s="685"/>
      <c r="PIR45" s="685"/>
      <c r="PIS45" s="685"/>
      <c r="PIT45" s="685"/>
      <c r="PIU45" s="685"/>
      <c r="PIV45" s="685"/>
      <c r="PIW45" s="685"/>
      <c r="PIX45" s="685"/>
      <c r="PIY45" s="685"/>
      <c r="PIZ45" s="685"/>
      <c r="PJA45" s="685"/>
      <c r="PJB45" s="685"/>
      <c r="PJC45" s="685"/>
      <c r="PJD45" s="685"/>
      <c r="PJE45" s="685"/>
      <c r="PJF45" s="685"/>
      <c r="PJG45" s="685"/>
      <c r="PJH45" s="685"/>
      <c r="PJI45" s="685"/>
      <c r="PJJ45" s="685"/>
      <c r="PJK45" s="685"/>
      <c r="PJL45" s="685"/>
      <c r="PJM45" s="685"/>
      <c r="PJN45" s="685"/>
      <c r="PJO45" s="685"/>
      <c r="PJP45" s="685"/>
      <c r="PJQ45" s="685"/>
      <c r="PJR45" s="685"/>
      <c r="PJS45" s="685"/>
      <c r="PJT45" s="685"/>
      <c r="PJU45" s="685"/>
      <c r="PJV45" s="685"/>
      <c r="PJW45" s="685"/>
      <c r="PJX45" s="685"/>
      <c r="PJY45" s="685"/>
      <c r="PJZ45" s="685"/>
      <c r="PKA45" s="685"/>
      <c r="PKB45" s="685"/>
      <c r="PKC45" s="685"/>
      <c r="PKD45" s="685"/>
      <c r="PKE45" s="685"/>
      <c r="PKF45" s="685"/>
      <c r="PKG45" s="685"/>
      <c r="PKH45" s="685"/>
      <c r="PKI45" s="685"/>
      <c r="PKJ45" s="685"/>
      <c r="PKK45" s="685"/>
      <c r="PKL45" s="685"/>
      <c r="PKM45" s="685"/>
      <c r="PKN45" s="685"/>
      <c r="PKO45" s="685"/>
      <c r="PKP45" s="685"/>
      <c r="PKQ45" s="685"/>
      <c r="PKR45" s="685"/>
      <c r="PKS45" s="685"/>
      <c r="PKT45" s="685"/>
      <c r="PKU45" s="685"/>
      <c r="PKV45" s="685"/>
      <c r="PKW45" s="685"/>
      <c r="PKX45" s="685"/>
      <c r="PKY45" s="685"/>
      <c r="PKZ45" s="685"/>
      <c r="PLA45" s="685"/>
      <c r="PLB45" s="685"/>
      <c r="PLC45" s="685"/>
      <c r="PLD45" s="685"/>
      <c r="PLE45" s="685"/>
      <c r="PLF45" s="685"/>
      <c r="PLG45" s="685"/>
      <c r="PLH45" s="685"/>
      <c r="PLI45" s="685"/>
      <c r="PLJ45" s="685"/>
      <c r="PLK45" s="685"/>
      <c r="PLL45" s="685"/>
      <c r="PLM45" s="685"/>
      <c r="PLN45" s="685"/>
      <c r="PLO45" s="685"/>
      <c r="PLP45" s="685"/>
      <c r="PLQ45" s="685"/>
      <c r="PLR45" s="685"/>
      <c r="PLS45" s="685"/>
      <c r="PLT45" s="685"/>
      <c r="PLU45" s="685"/>
      <c r="PLV45" s="685"/>
      <c r="PLW45" s="685"/>
      <c r="PLX45" s="685"/>
      <c r="PLY45" s="685"/>
      <c r="PLZ45" s="685"/>
      <c r="PMA45" s="685"/>
      <c r="PMB45" s="685"/>
      <c r="PMC45" s="685"/>
      <c r="PMD45" s="685"/>
      <c r="PME45" s="685"/>
      <c r="PMF45" s="685"/>
      <c r="PMG45" s="685"/>
      <c r="PMH45" s="685"/>
      <c r="PMI45" s="685"/>
      <c r="PMJ45" s="685"/>
      <c r="PMK45" s="685"/>
      <c r="PML45" s="685"/>
      <c r="PMM45" s="685"/>
      <c r="PMN45" s="685"/>
      <c r="PMO45" s="685"/>
      <c r="PMP45" s="685"/>
      <c r="PMQ45" s="685"/>
      <c r="PMR45" s="685"/>
      <c r="PMS45" s="685"/>
      <c r="PMT45" s="685"/>
      <c r="PMU45" s="685"/>
      <c r="PMV45" s="685"/>
      <c r="PMW45" s="685"/>
      <c r="PMX45" s="685"/>
      <c r="PMY45" s="685"/>
      <c r="PMZ45" s="685"/>
      <c r="PNA45" s="685"/>
      <c r="PNB45" s="685"/>
      <c r="PNC45" s="685"/>
      <c r="PND45" s="685"/>
      <c r="PNE45" s="685"/>
      <c r="PNF45" s="685"/>
      <c r="PNG45" s="685"/>
      <c r="PNH45" s="685"/>
      <c r="PNI45" s="685"/>
      <c r="PNJ45" s="685"/>
      <c r="PNK45" s="685"/>
      <c r="PNL45" s="685"/>
      <c r="PNM45" s="685"/>
      <c r="PNN45" s="685"/>
      <c r="PNO45" s="685"/>
      <c r="PNP45" s="685"/>
      <c r="PNQ45" s="685"/>
      <c r="PNR45" s="685"/>
      <c r="PNS45" s="685"/>
      <c r="PNT45" s="685"/>
      <c r="PNU45" s="685"/>
      <c r="PNV45" s="685"/>
      <c r="PNW45" s="685"/>
      <c r="PNX45" s="685"/>
      <c r="PNY45" s="685"/>
      <c r="PNZ45" s="685"/>
      <c r="POA45" s="685"/>
      <c r="POB45" s="685"/>
      <c r="POC45" s="685"/>
      <c r="POD45" s="685"/>
      <c r="POE45" s="685"/>
      <c r="POF45" s="685"/>
      <c r="POG45" s="685"/>
      <c r="POH45" s="685"/>
      <c r="POI45" s="685"/>
      <c r="POJ45" s="685"/>
      <c r="POK45" s="685"/>
      <c r="POL45" s="685"/>
      <c r="POM45" s="685"/>
      <c r="PON45" s="685"/>
      <c r="POO45" s="685"/>
      <c r="POP45" s="685"/>
      <c r="POQ45" s="685"/>
      <c r="POR45" s="685"/>
      <c r="POS45" s="685"/>
      <c r="POT45" s="685"/>
      <c r="POU45" s="685"/>
      <c r="POV45" s="685"/>
      <c r="POW45" s="685"/>
      <c r="POX45" s="685"/>
      <c r="POY45" s="685"/>
      <c r="POZ45" s="685"/>
      <c r="PPA45" s="685"/>
      <c r="PPB45" s="685"/>
      <c r="PPC45" s="685"/>
      <c r="PPD45" s="685"/>
      <c r="PPE45" s="685"/>
      <c r="PPF45" s="685"/>
      <c r="PPG45" s="685"/>
      <c r="PPH45" s="685"/>
      <c r="PPI45" s="685"/>
      <c r="PPJ45" s="685"/>
      <c r="PPK45" s="685"/>
      <c r="PPL45" s="685"/>
      <c r="PPM45" s="685"/>
      <c r="PPN45" s="685"/>
      <c r="PPO45" s="685"/>
      <c r="PPP45" s="685"/>
      <c r="PPQ45" s="685"/>
      <c r="PPR45" s="685"/>
      <c r="PPS45" s="685"/>
      <c r="PPT45" s="685"/>
      <c r="PPU45" s="685"/>
      <c r="PPV45" s="685"/>
      <c r="PPW45" s="685"/>
      <c r="PPX45" s="685"/>
      <c r="PPY45" s="685"/>
      <c r="PPZ45" s="685"/>
      <c r="PQA45" s="685"/>
      <c r="PQB45" s="685"/>
      <c r="PQC45" s="685"/>
      <c r="PQD45" s="685"/>
      <c r="PQE45" s="685"/>
      <c r="PQF45" s="685"/>
      <c r="PQG45" s="685"/>
      <c r="PQH45" s="685"/>
      <c r="PQI45" s="685"/>
      <c r="PQJ45" s="685"/>
      <c r="PQK45" s="685"/>
      <c r="PQL45" s="685"/>
      <c r="PQM45" s="685"/>
      <c r="PQN45" s="685"/>
      <c r="PQO45" s="685"/>
      <c r="PQP45" s="685"/>
      <c r="PQQ45" s="685"/>
      <c r="PQR45" s="685"/>
      <c r="PQS45" s="685"/>
      <c r="PQT45" s="685"/>
      <c r="PQU45" s="685"/>
      <c r="PQV45" s="685"/>
      <c r="PQW45" s="685"/>
      <c r="PQX45" s="685"/>
      <c r="PQY45" s="685"/>
      <c r="PQZ45" s="685"/>
      <c r="PRA45" s="685"/>
      <c r="PRB45" s="685"/>
      <c r="PRC45" s="685"/>
      <c r="PRD45" s="685"/>
      <c r="PRE45" s="685"/>
      <c r="PRF45" s="685"/>
      <c r="PRG45" s="685"/>
      <c r="PRH45" s="685"/>
      <c r="PRI45" s="685"/>
      <c r="PRJ45" s="685"/>
      <c r="PRK45" s="685"/>
      <c r="PRL45" s="685"/>
      <c r="PRM45" s="685"/>
      <c r="PRN45" s="685"/>
      <c r="PRO45" s="685"/>
      <c r="PRP45" s="685"/>
      <c r="PRQ45" s="685"/>
      <c r="PRR45" s="685"/>
      <c r="PRS45" s="685"/>
      <c r="PRT45" s="685"/>
      <c r="PRU45" s="685"/>
      <c r="PRV45" s="685"/>
      <c r="PRW45" s="685"/>
      <c r="PRX45" s="685"/>
      <c r="PRY45" s="685"/>
      <c r="PRZ45" s="685"/>
      <c r="PSA45" s="685"/>
      <c r="PSB45" s="685"/>
      <c r="PSC45" s="685"/>
      <c r="PSD45" s="685"/>
      <c r="PSE45" s="685"/>
      <c r="PSF45" s="685"/>
      <c r="PSG45" s="685"/>
      <c r="PSH45" s="685"/>
      <c r="PSI45" s="685"/>
      <c r="PSJ45" s="685"/>
      <c r="PSK45" s="685"/>
      <c r="PSL45" s="685"/>
      <c r="PSM45" s="685"/>
      <c r="PSN45" s="685"/>
      <c r="PSO45" s="685"/>
      <c r="PSP45" s="685"/>
      <c r="PSQ45" s="685"/>
      <c r="PSR45" s="685"/>
      <c r="PSS45" s="685"/>
      <c r="PST45" s="685"/>
      <c r="PSU45" s="685"/>
      <c r="PSV45" s="685"/>
      <c r="PSW45" s="685"/>
      <c r="PSX45" s="685"/>
      <c r="PSY45" s="685"/>
      <c r="PSZ45" s="685"/>
      <c r="PTA45" s="685"/>
      <c r="PTB45" s="685"/>
      <c r="PTC45" s="685"/>
      <c r="PTD45" s="685"/>
      <c r="PTE45" s="685"/>
      <c r="PTF45" s="685"/>
      <c r="PTG45" s="685"/>
      <c r="PTH45" s="685"/>
      <c r="PTI45" s="685"/>
      <c r="PTJ45" s="685"/>
      <c r="PTK45" s="685"/>
      <c r="PTL45" s="685"/>
      <c r="PTM45" s="685"/>
      <c r="PTN45" s="685"/>
      <c r="PTO45" s="685"/>
      <c r="PTP45" s="685"/>
      <c r="PTQ45" s="685"/>
      <c r="PTR45" s="685"/>
      <c r="PTS45" s="685"/>
      <c r="PTT45" s="685"/>
      <c r="PTU45" s="685"/>
      <c r="PTV45" s="685"/>
      <c r="PTW45" s="685"/>
      <c r="PTX45" s="685"/>
      <c r="PTY45" s="685"/>
      <c r="PTZ45" s="685"/>
      <c r="PUA45" s="685"/>
      <c r="PUB45" s="685"/>
      <c r="PUC45" s="685"/>
      <c r="PUD45" s="685"/>
      <c r="PUE45" s="685"/>
      <c r="PUF45" s="685"/>
      <c r="PUG45" s="685"/>
      <c r="PUH45" s="685"/>
      <c r="PUI45" s="685"/>
      <c r="PUJ45" s="685"/>
      <c r="PUK45" s="685"/>
      <c r="PUL45" s="685"/>
      <c r="PUM45" s="685"/>
      <c r="PUN45" s="685"/>
      <c r="PUO45" s="685"/>
      <c r="PUP45" s="685"/>
      <c r="PUQ45" s="685"/>
      <c r="PUR45" s="685"/>
      <c r="PUS45" s="685"/>
      <c r="PUT45" s="685"/>
      <c r="PUU45" s="685"/>
      <c r="PUV45" s="685"/>
      <c r="PUW45" s="685"/>
      <c r="PUX45" s="685"/>
      <c r="PUY45" s="685"/>
      <c r="PUZ45" s="685"/>
      <c r="PVA45" s="685"/>
      <c r="PVB45" s="685"/>
      <c r="PVC45" s="685"/>
      <c r="PVD45" s="685"/>
      <c r="PVE45" s="685"/>
      <c r="PVF45" s="685"/>
      <c r="PVG45" s="685"/>
      <c r="PVH45" s="685"/>
      <c r="PVI45" s="685"/>
      <c r="PVJ45" s="685"/>
      <c r="PVK45" s="685"/>
      <c r="PVL45" s="685"/>
      <c r="PVM45" s="685"/>
      <c r="PVN45" s="685"/>
      <c r="PVO45" s="685"/>
      <c r="PVP45" s="685"/>
      <c r="PVQ45" s="685"/>
      <c r="PVR45" s="685"/>
      <c r="PVS45" s="685"/>
      <c r="PVT45" s="685"/>
      <c r="PVU45" s="685"/>
      <c r="PVV45" s="685"/>
      <c r="PVW45" s="685"/>
      <c r="PVX45" s="685"/>
      <c r="PVY45" s="685"/>
      <c r="PVZ45" s="685"/>
      <c r="PWA45" s="685"/>
      <c r="PWB45" s="685"/>
      <c r="PWC45" s="685"/>
      <c r="PWD45" s="685"/>
      <c r="PWE45" s="685"/>
      <c r="PWF45" s="685"/>
      <c r="PWG45" s="685"/>
      <c r="PWH45" s="685"/>
      <c r="PWI45" s="685"/>
      <c r="PWJ45" s="685"/>
      <c r="PWK45" s="685"/>
      <c r="PWL45" s="685"/>
      <c r="PWM45" s="685"/>
      <c r="PWN45" s="685"/>
      <c r="PWO45" s="685"/>
      <c r="PWP45" s="685"/>
      <c r="PWQ45" s="685"/>
      <c r="PWR45" s="685"/>
      <c r="PWS45" s="685"/>
      <c r="PWT45" s="685"/>
      <c r="PWU45" s="685"/>
      <c r="PWV45" s="685"/>
      <c r="PWW45" s="685"/>
      <c r="PWX45" s="685"/>
      <c r="PWY45" s="685"/>
      <c r="PWZ45" s="685"/>
      <c r="PXA45" s="685"/>
      <c r="PXB45" s="685"/>
      <c r="PXC45" s="685"/>
      <c r="PXD45" s="685"/>
      <c r="PXE45" s="685"/>
      <c r="PXF45" s="685"/>
      <c r="PXG45" s="685"/>
      <c r="PXH45" s="685"/>
      <c r="PXI45" s="685"/>
      <c r="PXJ45" s="685"/>
      <c r="PXK45" s="685"/>
      <c r="PXL45" s="685"/>
      <c r="PXM45" s="685"/>
      <c r="PXN45" s="685"/>
      <c r="PXO45" s="685"/>
      <c r="PXP45" s="685"/>
      <c r="PXQ45" s="685"/>
      <c r="PXR45" s="685"/>
      <c r="PXS45" s="685"/>
      <c r="PXT45" s="685"/>
      <c r="PXU45" s="685"/>
      <c r="PXV45" s="685"/>
      <c r="PXW45" s="685"/>
      <c r="PXX45" s="685"/>
      <c r="PXY45" s="685"/>
      <c r="PXZ45" s="685"/>
      <c r="PYA45" s="685"/>
      <c r="PYB45" s="685"/>
      <c r="PYC45" s="685"/>
      <c r="PYD45" s="685"/>
      <c r="PYE45" s="685"/>
      <c r="PYF45" s="685"/>
      <c r="PYG45" s="685"/>
      <c r="PYH45" s="685"/>
      <c r="PYI45" s="685"/>
      <c r="PYJ45" s="685"/>
      <c r="PYK45" s="685"/>
      <c r="PYL45" s="685"/>
      <c r="PYM45" s="685"/>
      <c r="PYN45" s="685"/>
      <c r="PYO45" s="685"/>
      <c r="PYP45" s="685"/>
      <c r="PYQ45" s="685"/>
      <c r="PYR45" s="685"/>
      <c r="PYS45" s="685"/>
      <c r="PYT45" s="685"/>
      <c r="PYU45" s="685"/>
      <c r="PYV45" s="685"/>
      <c r="PYW45" s="685"/>
      <c r="PYX45" s="685"/>
      <c r="PYY45" s="685"/>
      <c r="PYZ45" s="685"/>
      <c r="PZA45" s="685"/>
      <c r="PZB45" s="685"/>
      <c r="PZC45" s="685"/>
      <c r="PZD45" s="685"/>
      <c r="PZE45" s="685"/>
      <c r="PZF45" s="685"/>
      <c r="PZG45" s="685"/>
      <c r="PZH45" s="685"/>
      <c r="PZI45" s="685"/>
      <c r="PZJ45" s="685"/>
      <c r="PZK45" s="685"/>
      <c r="PZL45" s="685"/>
      <c r="PZM45" s="685"/>
      <c r="PZN45" s="685"/>
      <c r="PZO45" s="685"/>
      <c r="PZP45" s="685"/>
      <c r="PZQ45" s="685"/>
      <c r="PZR45" s="685"/>
      <c r="PZS45" s="685"/>
      <c r="PZT45" s="685"/>
      <c r="PZU45" s="685"/>
      <c r="PZV45" s="685"/>
      <c r="PZW45" s="685"/>
      <c r="PZX45" s="685"/>
      <c r="PZY45" s="685"/>
      <c r="PZZ45" s="685"/>
      <c r="QAA45" s="685"/>
      <c r="QAB45" s="685"/>
      <c r="QAC45" s="685"/>
      <c r="QAD45" s="685"/>
      <c r="QAE45" s="685"/>
      <c r="QAF45" s="685"/>
      <c r="QAG45" s="685"/>
      <c r="QAH45" s="685"/>
      <c r="QAI45" s="685"/>
      <c r="QAJ45" s="685"/>
      <c r="QAK45" s="685"/>
      <c r="QAL45" s="685"/>
      <c r="QAM45" s="685"/>
      <c r="QAN45" s="685"/>
      <c r="QAO45" s="685"/>
      <c r="QAP45" s="685"/>
      <c r="QAQ45" s="685"/>
      <c r="QAR45" s="685"/>
      <c r="QAS45" s="685"/>
      <c r="QAT45" s="685"/>
      <c r="QAU45" s="685"/>
      <c r="QAV45" s="685"/>
      <c r="QAW45" s="685"/>
      <c r="QAX45" s="685"/>
      <c r="QAY45" s="685"/>
      <c r="QAZ45" s="685"/>
      <c r="QBA45" s="685"/>
      <c r="QBB45" s="685"/>
      <c r="QBC45" s="685"/>
      <c r="QBD45" s="685"/>
      <c r="QBE45" s="685"/>
      <c r="QBF45" s="685"/>
      <c r="QBG45" s="685"/>
      <c r="QBH45" s="685"/>
      <c r="QBI45" s="685"/>
      <c r="QBJ45" s="685"/>
      <c r="QBK45" s="685"/>
      <c r="QBL45" s="685"/>
      <c r="QBM45" s="685"/>
      <c r="QBN45" s="685"/>
      <c r="QBO45" s="685"/>
      <c r="QBP45" s="685"/>
      <c r="QBQ45" s="685"/>
      <c r="QBR45" s="685"/>
      <c r="QBS45" s="685"/>
      <c r="QBT45" s="685"/>
      <c r="QBU45" s="685"/>
      <c r="QBV45" s="685"/>
      <c r="QBW45" s="685"/>
      <c r="QBX45" s="685"/>
      <c r="QBY45" s="685"/>
      <c r="QBZ45" s="685"/>
      <c r="QCA45" s="685"/>
      <c r="QCB45" s="685"/>
      <c r="QCC45" s="685"/>
      <c r="QCD45" s="685"/>
      <c r="QCE45" s="685"/>
      <c r="QCF45" s="685"/>
      <c r="QCG45" s="685"/>
      <c r="QCH45" s="685"/>
      <c r="QCI45" s="685"/>
      <c r="QCJ45" s="685"/>
      <c r="QCK45" s="685"/>
      <c r="QCL45" s="685"/>
      <c r="QCM45" s="685"/>
      <c r="QCN45" s="685"/>
      <c r="QCO45" s="685"/>
      <c r="QCP45" s="685"/>
      <c r="QCQ45" s="685"/>
      <c r="QCR45" s="685"/>
      <c r="QCS45" s="685"/>
      <c r="QCT45" s="685"/>
      <c r="QCU45" s="685"/>
      <c r="QCV45" s="685"/>
      <c r="QCW45" s="685"/>
      <c r="QCX45" s="685"/>
      <c r="QCY45" s="685"/>
      <c r="QCZ45" s="685"/>
      <c r="QDA45" s="685"/>
      <c r="QDB45" s="685"/>
      <c r="QDC45" s="685"/>
      <c r="QDD45" s="685"/>
      <c r="QDE45" s="685"/>
      <c r="QDF45" s="685"/>
      <c r="QDG45" s="685"/>
      <c r="QDH45" s="685"/>
      <c r="QDI45" s="685"/>
      <c r="QDJ45" s="685"/>
      <c r="QDK45" s="685"/>
      <c r="QDL45" s="685"/>
      <c r="QDM45" s="685"/>
      <c r="QDN45" s="685"/>
      <c r="QDO45" s="685"/>
      <c r="QDP45" s="685"/>
      <c r="QDQ45" s="685"/>
      <c r="QDR45" s="685"/>
      <c r="QDS45" s="685"/>
      <c r="QDT45" s="685"/>
      <c r="QDU45" s="685"/>
      <c r="QDV45" s="685"/>
      <c r="QDW45" s="685"/>
      <c r="QDX45" s="685"/>
      <c r="QDY45" s="685"/>
      <c r="QDZ45" s="685"/>
      <c r="QEA45" s="685"/>
      <c r="QEB45" s="685"/>
      <c r="QEC45" s="685"/>
      <c r="QED45" s="685"/>
      <c r="QEE45" s="685"/>
      <c r="QEF45" s="685"/>
      <c r="QEG45" s="685"/>
      <c r="QEH45" s="685"/>
      <c r="QEI45" s="685"/>
      <c r="QEJ45" s="685"/>
      <c r="QEK45" s="685"/>
      <c r="QEL45" s="685"/>
      <c r="QEM45" s="685"/>
      <c r="QEN45" s="685"/>
      <c r="QEO45" s="685"/>
      <c r="QEP45" s="685"/>
      <c r="QEQ45" s="685"/>
      <c r="QER45" s="685"/>
      <c r="QES45" s="685"/>
      <c r="QET45" s="685"/>
      <c r="QEU45" s="685"/>
      <c r="QEV45" s="685"/>
      <c r="QEW45" s="685"/>
      <c r="QEX45" s="685"/>
      <c r="QEY45" s="685"/>
      <c r="QEZ45" s="685"/>
      <c r="QFA45" s="685"/>
      <c r="QFB45" s="685"/>
      <c r="QFC45" s="685"/>
      <c r="QFD45" s="685"/>
      <c r="QFE45" s="685"/>
      <c r="QFF45" s="685"/>
      <c r="QFG45" s="685"/>
      <c r="QFH45" s="685"/>
      <c r="QFI45" s="685"/>
      <c r="QFJ45" s="685"/>
      <c r="QFK45" s="685"/>
      <c r="QFL45" s="685"/>
      <c r="QFM45" s="685"/>
      <c r="QFN45" s="685"/>
      <c r="QFO45" s="685"/>
      <c r="QFP45" s="685"/>
      <c r="QFQ45" s="685"/>
      <c r="QFR45" s="685"/>
      <c r="QFS45" s="685"/>
      <c r="QFT45" s="685"/>
      <c r="QFU45" s="685"/>
      <c r="QFV45" s="685"/>
      <c r="QFW45" s="685"/>
      <c r="QFX45" s="685"/>
      <c r="QFY45" s="685"/>
      <c r="QFZ45" s="685"/>
      <c r="QGA45" s="685"/>
      <c r="QGB45" s="685"/>
      <c r="QGC45" s="685"/>
      <c r="QGD45" s="685"/>
      <c r="QGE45" s="685"/>
      <c r="QGF45" s="685"/>
      <c r="QGG45" s="685"/>
      <c r="QGH45" s="685"/>
      <c r="QGI45" s="685"/>
      <c r="QGJ45" s="685"/>
      <c r="QGK45" s="685"/>
      <c r="QGL45" s="685"/>
      <c r="QGM45" s="685"/>
      <c r="QGN45" s="685"/>
      <c r="QGO45" s="685"/>
      <c r="QGP45" s="685"/>
      <c r="QGQ45" s="685"/>
      <c r="QGR45" s="685"/>
      <c r="QGS45" s="685"/>
      <c r="QGT45" s="685"/>
      <c r="QGU45" s="685"/>
      <c r="QGV45" s="685"/>
      <c r="QGW45" s="685"/>
      <c r="QGX45" s="685"/>
      <c r="QGY45" s="685"/>
      <c r="QGZ45" s="685"/>
      <c r="QHA45" s="685"/>
      <c r="QHB45" s="685"/>
      <c r="QHC45" s="685"/>
      <c r="QHD45" s="685"/>
      <c r="QHE45" s="685"/>
      <c r="QHF45" s="685"/>
      <c r="QHG45" s="685"/>
      <c r="QHH45" s="685"/>
      <c r="QHI45" s="685"/>
      <c r="QHJ45" s="685"/>
      <c r="QHK45" s="685"/>
      <c r="QHL45" s="685"/>
      <c r="QHM45" s="685"/>
      <c r="QHN45" s="685"/>
      <c r="QHO45" s="685"/>
      <c r="QHP45" s="685"/>
      <c r="QHQ45" s="685"/>
      <c r="QHR45" s="685"/>
      <c r="QHS45" s="685"/>
      <c r="QHT45" s="685"/>
      <c r="QHU45" s="685"/>
      <c r="QHV45" s="685"/>
      <c r="QHW45" s="685"/>
      <c r="QHX45" s="685"/>
      <c r="QHY45" s="685"/>
      <c r="QHZ45" s="685"/>
      <c r="QIA45" s="685"/>
      <c r="QIB45" s="685"/>
      <c r="QIC45" s="685"/>
      <c r="QID45" s="685"/>
      <c r="QIE45" s="685"/>
      <c r="QIF45" s="685"/>
      <c r="QIG45" s="685"/>
      <c r="QIH45" s="685"/>
      <c r="QII45" s="685"/>
      <c r="QIJ45" s="685"/>
      <c r="QIK45" s="685"/>
      <c r="QIL45" s="685"/>
      <c r="QIM45" s="685"/>
      <c r="QIN45" s="685"/>
      <c r="QIO45" s="685"/>
      <c r="QIP45" s="685"/>
      <c r="QIQ45" s="685"/>
      <c r="QIR45" s="685"/>
      <c r="QIS45" s="685"/>
      <c r="QIT45" s="685"/>
      <c r="QIU45" s="685"/>
      <c r="QIV45" s="685"/>
      <c r="QIW45" s="685"/>
      <c r="QIX45" s="685"/>
      <c r="QIY45" s="685"/>
      <c r="QIZ45" s="685"/>
      <c r="QJA45" s="685"/>
      <c r="QJB45" s="685"/>
      <c r="QJC45" s="685"/>
      <c r="QJD45" s="685"/>
      <c r="QJE45" s="685"/>
      <c r="QJF45" s="685"/>
      <c r="QJG45" s="685"/>
      <c r="QJH45" s="685"/>
      <c r="QJI45" s="685"/>
      <c r="QJJ45" s="685"/>
      <c r="QJK45" s="685"/>
      <c r="QJL45" s="685"/>
      <c r="QJM45" s="685"/>
      <c r="QJN45" s="685"/>
      <c r="QJO45" s="685"/>
      <c r="QJP45" s="685"/>
      <c r="QJQ45" s="685"/>
      <c r="QJR45" s="685"/>
      <c r="QJS45" s="685"/>
      <c r="QJT45" s="685"/>
      <c r="QJU45" s="685"/>
      <c r="QJV45" s="685"/>
      <c r="QJW45" s="685"/>
      <c r="QJX45" s="685"/>
      <c r="QJY45" s="685"/>
      <c r="QJZ45" s="685"/>
      <c r="QKA45" s="685"/>
      <c r="QKB45" s="685"/>
      <c r="QKC45" s="685"/>
      <c r="QKD45" s="685"/>
      <c r="QKE45" s="685"/>
      <c r="QKF45" s="685"/>
      <c r="QKG45" s="685"/>
      <c r="QKH45" s="685"/>
      <c r="QKI45" s="685"/>
      <c r="QKJ45" s="685"/>
      <c r="QKK45" s="685"/>
      <c r="QKL45" s="685"/>
      <c r="QKM45" s="685"/>
      <c r="QKN45" s="685"/>
      <c r="QKO45" s="685"/>
      <c r="QKP45" s="685"/>
      <c r="QKQ45" s="685"/>
      <c r="QKR45" s="685"/>
      <c r="QKS45" s="685"/>
      <c r="QKT45" s="685"/>
      <c r="QKU45" s="685"/>
      <c r="QKV45" s="685"/>
      <c r="QKW45" s="685"/>
      <c r="QKX45" s="685"/>
      <c r="QKY45" s="685"/>
      <c r="QKZ45" s="685"/>
      <c r="QLA45" s="685"/>
      <c r="QLB45" s="685"/>
      <c r="QLC45" s="685"/>
      <c r="QLD45" s="685"/>
      <c r="QLE45" s="685"/>
      <c r="QLF45" s="685"/>
      <c r="QLG45" s="685"/>
      <c r="QLH45" s="685"/>
      <c r="QLI45" s="685"/>
      <c r="QLJ45" s="685"/>
      <c r="QLK45" s="685"/>
      <c r="QLL45" s="685"/>
      <c r="QLM45" s="685"/>
      <c r="QLN45" s="685"/>
      <c r="QLO45" s="685"/>
      <c r="QLP45" s="685"/>
      <c r="QLQ45" s="685"/>
      <c r="QLR45" s="685"/>
      <c r="QLS45" s="685"/>
      <c r="QLT45" s="685"/>
      <c r="QLU45" s="685"/>
      <c r="QLV45" s="685"/>
      <c r="QLW45" s="685"/>
      <c r="QLX45" s="685"/>
      <c r="QLY45" s="685"/>
      <c r="QLZ45" s="685"/>
      <c r="QMA45" s="685"/>
      <c r="QMB45" s="685"/>
      <c r="QMC45" s="685"/>
      <c r="QMD45" s="685"/>
      <c r="QME45" s="685"/>
      <c r="QMF45" s="685"/>
      <c r="QMG45" s="685"/>
      <c r="QMH45" s="685"/>
      <c r="QMI45" s="685"/>
      <c r="QMJ45" s="685"/>
      <c r="QMK45" s="685"/>
      <c r="QML45" s="685"/>
      <c r="QMM45" s="685"/>
      <c r="QMN45" s="685"/>
      <c r="QMO45" s="685"/>
      <c r="QMP45" s="685"/>
      <c r="QMQ45" s="685"/>
      <c r="QMR45" s="685"/>
      <c r="QMS45" s="685"/>
      <c r="QMT45" s="685"/>
      <c r="QMU45" s="685"/>
      <c r="QMV45" s="685"/>
      <c r="QMW45" s="685"/>
      <c r="QMX45" s="685"/>
      <c r="QMY45" s="685"/>
      <c r="QMZ45" s="685"/>
      <c r="QNA45" s="685"/>
      <c r="QNB45" s="685"/>
      <c r="QNC45" s="685"/>
      <c r="QND45" s="685"/>
      <c r="QNE45" s="685"/>
      <c r="QNF45" s="685"/>
      <c r="QNG45" s="685"/>
      <c r="QNH45" s="685"/>
      <c r="QNI45" s="685"/>
      <c r="QNJ45" s="685"/>
      <c r="QNK45" s="685"/>
      <c r="QNL45" s="685"/>
      <c r="QNM45" s="685"/>
      <c r="QNN45" s="685"/>
      <c r="QNO45" s="685"/>
      <c r="QNP45" s="685"/>
      <c r="QNQ45" s="685"/>
      <c r="QNR45" s="685"/>
      <c r="QNS45" s="685"/>
      <c r="QNT45" s="685"/>
      <c r="QNU45" s="685"/>
      <c r="QNV45" s="685"/>
      <c r="QNW45" s="685"/>
      <c r="QNX45" s="685"/>
      <c r="QNY45" s="685"/>
      <c r="QNZ45" s="685"/>
      <c r="QOA45" s="685"/>
      <c r="QOB45" s="685"/>
      <c r="QOC45" s="685"/>
      <c r="QOD45" s="685"/>
      <c r="QOE45" s="685"/>
      <c r="QOF45" s="685"/>
      <c r="QOG45" s="685"/>
      <c r="QOH45" s="685"/>
      <c r="QOI45" s="685"/>
      <c r="QOJ45" s="685"/>
      <c r="QOK45" s="685"/>
      <c r="QOL45" s="685"/>
      <c r="QOM45" s="685"/>
      <c r="QON45" s="685"/>
      <c r="QOO45" s="685"/>
      <c r="QOP45" s="685"/>
      <c r="QOQ45" s="685"/>
      <c r="QOR45" s="685"/>
      <c r="QOS45" s="685"/>
      <c r="QOT45" s="685"/>
      <c r="QOU45" s="685"/>
      <c r="QOV45" s="685"/>
      <c r="QOW45" s="685"/>
      <c r="QOX45" s="685"/>
      <c r="QOY45" s="685"/>
      <c r="QOZ45" s="685"/>
      <c r="QPA45" s="685"/>
      <c r="QPB45" s="685"/>
      <c r="QPC45" s="685"/>
      <c r="QPD45" s="685"/>
      <c r="QPE45" s="685"/>
      <c r="QPF45" s="685"/>
      <c r="QPG45" s="685"/>
      <c r="QPH45" s="685"/>
      <c r="QPI45" s="685"/>
      <c r="QPJ45" s="685"/>
      <c r="QPK45" s="685"/>
      <c r="QPL45" s="685"/>
      <c r="QPM45" s="685"/>
      <c r="QPN45" s="685"/>
      <c r="QPO45" s="685"/>
      <c r="QPP45" s="685"/>
      <c r="QPQ45" s="685"/>
      <c r="QPR45" s="685"/>
      <c r="QPS45" s="685"/>
      <c r="QPT45" s="685"/>
      <c r="QPU45" s="685"/>
      <c r="QPV45" s="685"/>
      <c r="QPW45" s="685"/>
      <c r="QPX45" s="685"/>
      <c r="QPY45" s="685"/>
      <c r="QPZ45" s="685"/>
      <c r="QQA45" s="685"/>
      <c r="QQB45" s="685"/>
      <c r="QQC45" s="685"/>
      <c r="QQD45" s="685"/>
      <c r="QQE45" s="685"/>
      <c r="QQF45" s="685"/>
      <c r="QQG45" s="685"/>
      <c r="QQH45" s="685"/>
      <c r="QQI45" s="685"/>
      <c r="QQJ45" s="685"/>
      <c r="QQK45" s="685"/>
      <c r="QQL45" s="685"/>
      <c r="QQM45" s="685"/>
      <c r="QQN45" s="685"/>
      <c r="QQO45" s="685"/>
      <c r="QQP45" s="685"/>
      <c r="QQQ45" s="685"/>
      <c r="QQR45" s="685"/>
      <c r="QQS45" s="685"/>
      <c r="QQT45" s="685"/>
      <c r="QQU45" s="685"/>
      <c r="QQV45" s="685"/>
      <c r="QQW45" s="685"/>
      <c r="QQX45" s="685"/>
      <c r="QQY45" s="685"/>
      <c r="QQZ45" s="685"/>
      <c r="QRA45" s="685"/>
      <c r="QRB45" s="685"/>
      <c r="QRC45" s="685"/>
      <c r="QRD45" s="685"/>
      <c r="QRE45" s="685"/>
      <c r="QRF45" s="685"/>
      <c r="QRG45" s="685"/>
      <c r="QRH45" s="685"/>
      <c r="QRI45" s="685"/>
      <c r="QRJ45" s="685"/>
      <c r="QRK45" s="685"/>
      <c r="QRL45" s="685"/>
      <c r="QRM45" s="685"/>
      <c r="QRN45" s="685"/>
      <c r="QRO45" s="685"/>
      <c r="QRP45" s="685"/>
      <c r="QRQ45" s="685"/>
      <c r="QRR45" s="685"/>
      <c r="QRS45" s="685"/>
      <c r="QRT45" s="685"/>
      <c r="QRU45" s="685"/>
      <c r="QRV45" s="685"/>
      <c r="QRW45" s="685"/>
      <c r="QRX45" s="685"/>
      <c r="QRY45" s="685"/>
      <c r="QRZ45" s="685"/>
      <c r="QSA45" s="685"/>
      <c r="QSB45" s="685"/>
      <c r="QSC45" s="685"/>
      <c r="QSD45" s="685"/>
      <c r="QSE45" s="685"/>
      <c r="QSF45" s="685"/>
      <c r="QSG45" s="685"/>
      <c r="QSH45" s="685"/>
      <c r="QSI45" s="685"/>
      <c r="QSJ45" s="685"/>
      <c r="QSK45" s="685"/>
      <c r="QSL45" s="685"/>
      <c r="QSM45" s="685"/>
      <c r="QSN45" s="685"/>
      <c r="QSO45" s="685"/>
      <c r="QSP45" s="685"/>
      <c r="QSQ45" s="685"/>
      <c r="QSR45" s="685"/>
      <c r="QSS45" s="685"/>
      <c r="QST45" s="685"/>
      <c r="QSU45" s="685"/>
      <c r="QSV45" s="685"/>
      <c r="QSW45" s="685"/>
      <c r="QSX45" s="685"/>
      <c r="QSY45" s="685"/>
      <c r="QSZ45" s="685"/>
      <c r="QTA45" s="685"/>
      <c r="QTB45" s="685"/>
      <c r="QTC45" s="685"/>
      <c r="QTD45" s="685"/>
      <c r="QTE45" s="685"/>
      <c r="QTF45" s="685"/>
      <c r="QTG45" s="685"/>
      <c r="QTH45" s="685"/>
      <c r="QTI45" s="685"/>
      <c r="QTJ45" s="685"/>
      <c r="QTK45" s="685"/>
      <c r="QTL45" s="685"/>
      <c r="QTM45" s="685"/>
      <c r="QTN45" s="685"/>
      <c r="QTO45" s="685"/>
      <c r="QTP45" s="685"/>
      <c r="QTQ45" s="685"/>
      <c r="QTR45" s="685"/>
      <c r="QTS45" s="685"/>
      <c r="QTT45" s="685"/>
      <c r="QTU45" s="685"/>
      <c r="QTV45" s="685"/>
      <c r="QTW45" s="685"/>
      <c r="QTX45" s="685"/>
      <c r="QTY45" s="685"/>
      <c r="QTZ45" s="685"/>
      <c r="QUA45" s="685"/>
      <c r="QUB45" s="685"/>
      <c r="QUC45" s="685"/>
      <c r="QUD45" s="685"/>
      <c r="QUE45" s="685"/>
      <c r="QUF45" s="685"/>
      <c r="QUG45" s="685"/>
      <c r="QUH45" s="685"/>
      <c r="QUI45" s="685"/>
      <c r="QUJ45" s="685"/>
      <c r="QUK45" s="685"/>
      <c r="QUL45" s="685"/>
      <c r="QUM45" s="685"/>
      <c r="QUN45" s="685"/>
      <c r="QUO45" s="685"/>
      <c r="QUP45" s="685"/>
      <c r="QUQ45" s="685"/>
      <c r="QUR45" s="685"/>
      <c r="QUS45" s="685"/>
      <c r="QUT45" s="685"/>
      <c r="QUU45" s="685"/>
      <c r="QUV45" s="685"/>
      <c r="QUW45" s="685"/>
      <c r="QUX45" s="685"/>
      <c r="QUY45" s="685"/>
      <c r="QUZ45" s="685"/>
      <c r="QVA45" s="685"/>
      <c r="QVB45" s="685"/>
      <c r="QVC45" s="685"/>
      <c r="QVD45" s="685"/>
      <c r="QVE45" s="685"/>
      <c r="QVF45" s="685"/>
      <c r="QVG45" s="685"/>
      <c r="QVH45" s="685"/>
      <c r="QVI45" s="685"/>
      <c r="QVJ45" s="685"/>
      <c r="QVK45" s="685"/>
      <c r="QVL45" s="685"/>
      <c r="QVM45" s="685"/>
      <c r="QVN45" s="685"/>
      <c r="QVO45" s="685"/>
      <c r="QVP45" s="685"/>
      <c r="QVQ45" s="685"/>
      <c r="QVR45" s="685"/>
      <c r="QVS45" s="685"/>
      <c r="QVT45" s="685"/>
      <c r="QVU45" s="685"/>
      <c r="QVV45" s="685"/>
      <c r="QVW45" s="685"/>
      <c r="QVX45" s="685"/>
      <c r="QVY45" s="685"/>
      <c r="QVZ45" s="685"/>
      <c r="QWA45" s="685"/>
      <c r="QWB45" s="685"/>
      <c r="QWC45" s="685"/>
      <c r="QWD45" s="685"/>
      <c r="QWE45" s="685"/>
      <c r="QWF45" s="685"/>
      <c r="QWG45" s="685"/>
      <c r="QWH45" s="685"/>
      <c r="QWI45" s="685"/>
      <c r="QWJ45" s="685"/>
      <c r="QWK45" s="685"/>
      <c r="QWL45" s="685"/>
      <c r="QWM45" s="685"/>
      <c r="QWN45" s="685"/>
      <c r="QWO45" s="685"/>
      <c r="QWP45" s="685"/>
      <c r="QWQ45" s="685"/>
      <c r="QWR45" s="685"/>
      <c r="QWS45" s="685"/>
      <c r="QWT45" s="685"/>
      <c r="QWU45" s="685"/>
      <c r="QWV45" s="685"/>
      <c r="QWW45" s="685"/>
      <c r="QWX45" s="685"/>
      <c r="QWY45" s="685"/>
      <c r="QWZ45" s="685"/>
      <c r="QXA45" s="685"/>
      <c r="QXB45" s="685"/>
      <c r="QXC45" s="685"/>
      <c r="QXD45" s="685"/>
      <c r="QXE45" s="685"/>
      <c r="QXF45" s="685"/>
      <c r="QXG45" s="685"/>
      <c r="QXH45" s="685"/>
      <c r="QXI45" s="685"/>
      <c r="QXJ45" s="685"/>
      <c r="QXK45" s="685"/>
      <c r="QXL45" s="685"/>
      <c r="QXM45" s="685"/>
      <c r="QXN45" s="685"/>
      <c r="QXO45" s="685"/>
      <c r="QXP45" s="685"/>
      <c r="QXQ45" s="685"/>
      <c r="QXR45" s="685"/>
      <c r="QXS45" s="685"/>
      <c r="QXT45" s="685"/>
      <c r="QXU45" s="685"/>
      <c r="QXV45" s="685"/>
      <c r="QXW45" s="685"/>
      <c r="QXX45" s="685"/>
      <c r="QXY45" s="685"/>
      <c r="QXZ45" s="685"/>
      <c r="QYA45" s="685"/>
      <c r="QYB45" s="685"/>
      <c r="QYC45" s="685"/>
      <c r="QYD45" s="685"/>
      <c r="QYE45" s="685"/>
      <c r="QYF45" s="685"/>
      <c r="QYG45" s="685"/>
      <c r="QYH45" s="685"/>
      <c r="QYI45" s="685"/>
      <c r="QYJ45" s="685"/>
      <c r="QYK45" s="685"/>
      <c r="QYL45" s="685"/>
      <c r="QYM45" s="685"/>
      <c r="QYN45" s="685"/>
      <c r="QYO45" s="685"/>
      <c r="QYP45" s="685"/>
      <c r="QYQ45" s="685"/>
      <c r="QYR45" s="685"/>
      <c r="QYS45" s="685"/>
      <c r="QYT45" s="685"/>
      <c r="QYU45" s="685"/>
      <c r="QYV45" s="685"/>
      <c r="QYW45" s="685"/>
      <c r="QYX45" s="685"/>
      <c r="QYY45" s="685"/>
      <c r="QYZ45" s="685"/>
      <c r="QZA45" s="685"/>
      <c r="QZB45" s="685"/>
      <c r="QZC45" s="685"/>
      <c r="QZD45" s="685"/>
      <c r="QZE45" s="685"/>
      <c r="QZF45" s="685"/>
      <c r="QZG45" s="685"/>
      <c r="QZH45" s="685"/>
      <c r="QZI45" s="685"/>
      <c r="QZJ45" s="685"/>
      <c r="QZK45" s="685"/>
      <c r="QZL45" s="685"/>
      <c r="QZM45" s="685"/>
      <c r="QZN45" s="685"/>
      <c r="QZO45" s="685"/>
      <c r="QZP45" s="685"/>
      <c r="QZQ45" s="685"/>
      <c r="QZR45" s="685"/>
      <c r="QZS45" s="685"/>
      <c r="QZT45" s="685"/>
      <c r="QZU45" s="685"/>
      <c r="QZV45" s="685"/>
      <c r="QZW45" s="685"/>
      <c r="QZX45" s="685"/>
      <c r="QZY45" s="685"/>
      <c r="QZZ45" s="685"/>
      <c r="RAA45" s="685"/>
      <c r="RAB45" s="685"/>
      <c r="RAC45" s="685"/>
      <c r="RAD45" s="685"/>
      <c r="RAE45" s="685"/>
      <c r="RAF45" s="685"/>
      <c r="RAG45" s="685"/>
      <c r="RAH45" s="685"/>
      <c r="RAI45" s="685"/>
      <c r="RAJ45" s="685"/>
      <c r="RAK45" s="685"/>
      <c r="RAL45" s="685"/>
      <c r="RAM45" s="685"/>
      <c r="RAN45" s="685"/>
      <c r="RAO45" s="685"/>
      <c r="RAP45" s="685"/>
      <c r="RAQ45" s="685"/>
      <c r="RAR45" s="685"/>
      <c r="RAS45" s="685"/>
      <c r="RAT45" s="685"/>
      <c r="RAU45" s="685"/>
      <c r="RAV45" s="685"/>
      <c r="RAW45" s="685"/>
      <c r="RAX45" s="685"/>
      <c r="RAY45" s="685"/>
      <c r="RAZ45" s="685"/>
      <c r="RBA45" s="685"/>
      <c r="RBB45" s="685"/>
      <c r="RBC45" s="685"/>
      <c r="RBD45" s="685"/>
      <c r="RBE45" s="685"/>
      <c r="RBF45" s="685"/>
      <c r="RBG45" s="685"/>
      <c r="RBH45" s="685"/>
      <c r="RBI45" s="685"/>
      <c r="RBJ45" s="685"/>
      <c r="RBK45" s="685"/>
      <c r="RBL45" s="685"/>
      <c r="RBM45" s="685"/>
      <c r="RBN45" s="685"/>
      <c r="RBO45" s="685"/>
      <c r="RBP45" s="685"/>
      <c r="RBQ45" s="685"/>
      <c r="RBR45" s="685"/>
      <c r="RBS45" s="685"/>
      <c r="RBT45" s="685"/>
      <c r="RBU45" s="685"/>
      <c r="RBV45" s="685"/>
      <c r="RBW45" s="685"/>
      <c r="RBX45" s="685"/>
      <c r="RBY45" s="685"/>
      <c r="RBZ45" s="685"/>
      <c r="RCA45" s="685"/>
      <c r="RCB45" s="685"/>
      <c r="RCC45" s="685"/>
      <c r="RCD45" s="685"/>
      <c r="RCE45" s="685"/>
      <c r="RCF45" s="685"/>
      <c r="RCG45" s="685"/>
      <c r="RCH45" s="685"/>
      <c r="RCI45" s="685"/>
      <c r="RCJ45" s="685"/>
      <c r="RCK45" s="685"/>
      <c r="RCL45" s="685"/>
      <c r="RCM45" s="685"/>
      <c r="RCN45" s="685"/>
      <c r="RCO45" s="685"/>
      <c r="RCP45" s="685"/>
      <c r="RCQ45" s="685"/>
      <c r="RCR45" s="685"/>
      <c r="RCS45" s="685"/>
      <c r="RCT45" s="685"/>
      <c r="RCU45" s="685"/>
      <c r="RCV45" s="685"/>
      <c r="RCW45" s="685"/>
      <c r="RCX45" s="685"/>
      <c r="RCY45" s="685"/>
      <c r="RCZ45" s="685"/>
      <c r="RDA45" s="685"/>
      <c r="RDB45" s="685"/>
      <c r="RDC45" s="685"/>
      <c r="RDD45" s="685"/>
      <c r="RDE45" s="685"/>
      <c r="RDF45" s="685"/>
      <c r="RDG45" s="685"/>
      <c r="RDH45" s="685"/>
      <c r="RDI45" s="685"/>
      <c r="RDJ45" s="685"/>
      <c r="RDK45" s="685"/>
      <c r="RDL45" s="685"/>
      <c r="RDM45" s="685"/>
      <c r="RDN45" s="685"/>
      <c r="RDO45" s="685"/>
      <c r="RDP45" s="685"/>
      <c r="RDQ45" s="685"/>
      <c r="RDR45" s="685"/>
      <c r="RDS45" s="685"/>
      <c r="RDT45" s="685"/>
      <c r="RDU45" s="685"/>
      <c r="RDV45" s="685"/>
      <c r="RDW45" s="685"/>
      <c r="RDX45" s="685"/>
      <c r="RDY45" s="685"/>
      <c r="RDZ45" s="685"/>
      <c r="REA45" s="685"/>
      <c r="REB45" s="685"/>
      <c r="REC45" s="685"/>
      <c r="RED45" s="685"/>
      <c r="REE45" s="685"/>
      <c r="REF45" s="685"/>
      <c r="REG45" s="685"/>
      <c r="REH45" s="685"/>
      <c r="REI45" s="685"/>
      <c r="REJ45" s="685"/>
      <c r="REK45" s="685"/>
      <c r="REL45" s="685"/>
      <c r="REM45" s="685"/>
      <c r="REN45" s="685"/>
      <c r="REO45" s="685"/>
      <c r="REP45" s="685"/>
      <c r="REQ45" s="685"/>
      <c r="RER45" s="685"/>
      <c r="RES45" s="685"/>
      <c r="RET45" s="685"/>
      <c r="REU45" s="685"/>
      <c r="REV45" s="685"/>
      <c r="REW45" s="685"/>
      <c r="REX45" s="685"/>
      <c r="REY45" s="685"/>
      <c r="REZ45" s="685"/>
      <c r="RFA45" s="685"/>
      <c r="RFB45" s="685"/>
      <c r="RFC45" s="685"/>
      <c r="RFD45" s="685"/>
      <c r="RFE45" s="685"/>
      <c r="RFF45" s="685"/>
      <c r="RFG45" s="685"/>
      <c r="RFH45" s="685"/>
      <c r="RFI45" s="685"/>
      <c r="RFJ45" s="685"/>
      <c r="RFK45" s="685"/>
      <c r="RFL45" s="685"/>
      <c r="RFM45" s="685"/>
      <c r="RFN45" s="685"/>
      <c r="RFO45" s="685"/>
      <c r="RFP45" s="685"/>
      <c r="RFQ45" s="685"/>
      <c r="RFR45" s="685"/>
      <c r="RFS45" s="685"/>
      <c r="RFT45" s="685"/>
      <c r="RFU45" s="685"/>
      <c r="RFV45" s="685"/>
      <c r="RFW45" s="685"/>
      <c r="RFX45" s="685"/>
      <c r="RFY45" s="685"/>
      <c r="RFZ45" s="685"/>
      <c r="RGA45" s="685"/>
      <c r="RGB45" s="685"/>
      <c r="RGC45" s="685"/>
      <c r="RGD45" s="685"/>
      <c r="RGE45" s="685"/>
      <c r="RGF45" s="685"/>
      <c r="RGG45" s="685"/>
      <c r="RGH45" s="685"/>
      <c r="RGI45" s="685"/>
      <c r="RGJ45" s="685"/>
      <c r="RGK45" s="685"/>
      <c r="RGL45" s="685"/>
      <c r="RGM45" s="685"/>
      <c r="RGN45" s="685"/>
      <c r="RGO45" s="685"/>
      <c r="RGP45" s="685"/>
      <c r="RGQ45" s="685"/>
      <c r="RGR45" s="685"/>
      <c r="RGS45" s="685"/>
      <c r="RGT45" s="685"/>
      <c r="RGU45" s="685"/>
      <c r="RGV45" s="685"/>
      <c r="RGW45" s="685"/>
      <c r="RGX45" s="685"/>
      <c r="RGY45" s="685"/>
      <c r="RGZ45" s="685"/>
      <c r="RHA45" s="685"/>
      <c r="RHB45" s="685"/>
      <c r="RHC45" s="685"/>
      <c r="RHD45" s="685"/>
      <c r="RHE45" s="685"/>
      <c r="RHF45" s="685"/>
      <c r="RHG45" s="685"/>
      <c r="RHH45" s="685"/>
      <c r="RHI45" s="685"/>
      <c r="RHJ45" s="685"/>
      <c r="RHK45" s="685"/>
      <c r="RHL45" s="685"/>
      <c r="RHM45" s="685"/>
      <c r="RHN45" s="685"/>
      <c r="RHO45" s="685"/>
      <c r="RHP45" s="685"/>
      <c r="RHQ45" s="685"/>
      <c r="RHR45" s="685"/>
      <c r="RHS45" s="685"/>
      <c r="RHT45" s="685"/>
      <c r="RHU45" s="685"/>
      <c r="RHV45" s="685"/>
      <c r="RHW45" s="685"/>
      <c r="RHX45" s="685"/>
      <c r="RHY45" s="685"/>
      <c r="RHZ45" s="685"/>
      <c r="RIA45" s="685"/>
      <c r="RIB45" s="685"/>
      <c r="RIC45" s="685"/>
      <c r="RID45" s="685"/>
      <c r="RIE45" s="685"/>
      <c r="RIF45" s="685"/>
      <c r="RIG45" s="685"/>
      <c r="RIH45" s="685"/>
      <c r="RII45" s="685"/>
      <c r="RIJ45" s="685"/>
      <c r="RIK45" s="685"/>
      <c r="RIL45" s="685"/>
      <c r="RIM45" s="685"/>
      <c r="RIN45" s="685"/>
      <c r="RIO45" s="685"/>
      <c r="RIP45" s="685"/>
      <c r="RIQ45" s="685"/>
      <c r="RIR45" s="685"/>
      <c r="RIS45" s="685"/>
      <c r="RIT45" s="685"/>
      <c r="RIU45" s="685"/>
      <c r="RIV45" s="685"/>
      <c r="RIW45" s="685"/>
      <c r="RIX45" s="685"/>
      <c r="RIY45" s="685"/>
      <c r="RIZ45" s="685"/>
      <c r="RJA45" s="685"/>
      <c r="RJB45" s="685"/>
      <c r="RJC45" s="685"/>
      <c r="RJD45" s="685"/>
      <c r="RJE45" s="685"/>
      <c r="RJF45" s="685"/>
      <c r="RJG45" s="685"/>
      <c r="RJH45" s="685"/>
      <c r="RJI45" s="685"/>
      <c r="RJJ45" s="685"/>
      <c r="RJK45" s="685"/>
      <c r="RJL45" s="685"/>
      <c r="RJM45" s="685"/>
      <c r="RJN45" s="685"/>
      <c r="RJO45" s="685"/>
      <c r="RJP45" s="685"/>
      <c r="RJQ45" s="685"/>
      <c r="RJR45" s="685"/>
      <c r="RJS45" s="685"/>
      <c r="RJT45" s="685"/>
      <c r="RJU45" s="685"/>
      <c r="RJV45" s="685"/>
      <c r="RJW45" s="685"/>
      <c r="RJX45" s="685"/>
      <c r="RJY45" s="685"/>
      <c r="RJZ45" s="685"/>
      <c r="RKA45" s="685"/>
      <c r="RKB45" s="685"/>
      <c r="RKC45" s="685"/>
      <c r="RKD45" s="685"/>
      <c r="RKE45" s="685"/>
      <c r="RKF45" s="685"/>
      <c r="RKG45" s="685"/>
      <c r="RKH45" s="685"/>
      <c r="RKI45" s="685"/>
      <c r="RKJ45" s="685"/>
      <c r="RKK45" s="685"/>
      <c r="RKL45" s="685"/>
      <c r="RKM45" s="685"/>
      <c r="RKN45" s="685"/>
      <c r="RKO45" s="685"/>
      <c r="RKP45" s="685"/>
      <c r="RKQ45" s="685"/>
      <c r="RKR45" s="685"/>
      <c r="RKS45" s="685"/>
      <c r="RKT45" s="685"/>
      <c r="RKU45" s="685"/>
      <c r="RKV45" s="685"/>
      <c r="RKW45" s="685"/>
      <c r="RKX45" s="685"/>
      <c r="RKY45" s="685"/>
      <c r="RKZ45" s="685"/>
      <c r="RLA45" s="685"/>
      <c r="RLB45" s="685"/>
      <c r="RLC45" s="685"/>
      <c r="RLD45" s="685"/>
      <c r="RLE45" s="685"/>
      <c r="RLF45" s="685"/>
      <c r="RLG45" s="685"/>
      <c r="RLH45" s="685"/>
      <c r="RLI45" s="685"/>
      <c r="RLJ45" s="685"/>
      <c r="RLK45" s="685"/>
      <c r="RLL45" s="685"/>
      <c r="RLM45" s="685"/>
      <c r="RLN45" s="685"/>
      <c r="RLO45" s="685"/>
      <c r="RLP45" s="685"/>
      <c r="RLQ45" s="685"/>
      <c r="RLR45" s="685"/>
      <c r="RLS45" s="685"/>
      <c r="RLT45" s="685"/>
      <c r="RLU45" s="685"/>
      <c r="RLV45" s="685"/>
      <c r="RLW45" s="685"/>
      <c r="RLX45" s="685"/>
      <c r="RLY45" s="685"/>
      <c r="RLZ45" s="685"/>
      <c r="RMA45" s="685"/>
      <c r="RMB45" s="685"/>
      <c r="RMC45" s="685"/>
      <c r="RMD45" s="685"/>
      <c r="RME45" s="685"/>
      <c r="RMF45" s="685"/>
      <c r="RMG45" s="685"/>
      <c r="RMH45" s="685"/>
      <c r="RMI45" s="685"/>
      <c r="RMJ45" s="685"/>
      <c r="RMK45" s="685"/>
      <c r="RML45" s="685"/>
      <c r="RMM45" s="685"/>
      <c r="RMN45" s="685"/>
      <c r="RMO45" s="685"/>
      <c r="RMP45" s="685"/>
      <c r="RMQ45" s="685"/>
      <c r="RMR45" s="685"/>
      <c r="RMS45" s="685"/>
      <c r="RMT45" s="685"/>
      <c r="RMU45" s="685"/>
      <c r="RMV45" s="685"/>
      <c r="RMW45" s="685"/>
      <c r="RMX45" s="685"/>
      <c r="RMY45" s="685"/>
      <c r="RMZ45" s="685"/>
      <c r="RNA45" s="685"/>
      <c r="RNB45" s="685"/>
      <c r="RNC45" s="685"/>
      <c r="RND45" s="685"/>
      <c r="RNE45" s="685"/>
      <c r="RNF45" s="685"/>
      <c r="RNG45" s="685"/>
      <c r="RNH45" s="685"/>
      <c r="RNI45" s="685"/>
      <c r="RNJ45" s="685"/>
      <c r="RNK45" s="685"/>
      <c r="RNL45" s="685"/>
      <c r="RNM45" s="685"/>
      <c r="RNN45" s="685"/>
      <c r="RNO45" s="685"/>
      <c r="RNP45" s="685"/>
      <c r="RNQ45" s="685"/>
      <c r="RNR45" s="685"/>
      <c r="RNS45" s="685"/>
      <c r="RNT45" s="685"/>
      <c r="RNU45" s="685"/>
      <c r="RNV45" s="685"/>
      <c r="RNW45" s="685"/>
      <c r="RNX45" s="685"/>
      <c r="RNY45" s="685"/>
      <c r="RNZ45" s="685"/>
      <c r="ROA45" s="685"/>
      <c r="ROB45" s="685"/>
      <c r="ROC45" s="685"/>
      <c r="ROD45" s="685"/>
      <c r="ROE45" s="685"/>
      <c r="ROF45" s="685"/>
      <c r="ROG45" s="685"/>
      <c r="ROH45" s="685"/>
      <c r="ROI45" s="685"/>
      <c r="ROJ45" s="685"/>
      <c r="ROK45" s="685"/>
      <c r="ROL45" s="685"/>
      <c r="ROM45" s="685"/>
      <c r="RON45" s="685"/>
      <c r="ROO45" s="685"/>
      <c r="ROP45" s="685"/>
      <c r="ROQ45" s="685"/>
      <c r="ROR45" s="685"/>
      <c r="ROS45" s="685"/>
      <c r="ROT45" s="685"/>
      <c r="ROU45" s="685"/>
      <c r="ROV45" s="685"/>
      <c r="ROW45" s="685"/>
      <c r="ROX45" s="685"/>
      <c r="ROY45" s="685"/>
      <c r="ROZ45" s="685"/>
      <c r="RPA45" s="685"/>
      <c r="RPB45" s="685"/>
      <c r="RPC45" s="685"/>
      <c r="RPD45" s="685"/>
      <c r="RPE45" s="685"/>
      <c r="RPF45" s="685"/>
      <c r="RPG45" s="685"/>
      <c r="RPH45" s="685"/>
      <c r="RPI45" s="685"/>
      <c r="RPJ45" s="685"/>
      <c r="RPK45" s="685"/>
      <c r="RPL45" s="685"/>
      <c r="RPM45" s="685"/>
      <c r="RPN45" s="685"/>
      <c r="RPO45" s="685"/>
      <c r="RPP45" s="685"/>
      <c r="RPQ45" s="685"/>
      <c r="RPR45" s="685"/>
      <c r="RPS45" s="685"/>
      <c r="RPT45" s="685"/>
      <c r="RPU45" s="685"/>
      <c r="RPV45" s="685"/>
      <c r="RPW45" s="685"/>
      <c r="RPX45" s="685"/>
      <c r="RPY45" s="685"/>
      <c r="RPZ45" s="685"/>
      <c r="RQA45" s="685"/>
      <c r="RQB45" s="685"/>
      <c r="RQC45" s="685"/>
      <c r="RQD45" s="685"/>
      <c r="RQE45" s="685"/>
      <c r="RQF45" s="685"/>
      <c r="RQG45" s="685"/>
      <c r="RQH45" s="685"/>
      <c r="RQI45" s="685"/>
      <c r="RQJ45" s="685"/>
      <c r="RQK45" s="685"/>
      <c r="RQL45" s="685"/>
      <c r="RQM45" s="685"/>
      <c r="RQN45" s="685"/>
      <c r="RQO45" s="685"/>
      <c r="RQP45" s="685"/>
      <c r="RQQ45" s="685"/>
      <c r="RQR45" s="685"/>
      <c r="RQS45" s="685"/>
      <c r="RQT45" s="685"/>
      <c r="RQU45" s="685"/>
      <c r="RQV45" s="685"/>
      <c r="RQW45" s="685"/>
      <c r="RQX45" s="685"/>
      <c r="RQY45" s="685"/>
      <c r="RQZ45" s="685"/>
      <c r="RRA45" s="685"/>
      <c r="RRB45" s="685"/>
      <c r="RRC45" s="685"/>
      <c r="RRD45" s="685"/>
      <c r="RRE45" s="685"/>
      <c r="RRF45" s="685"/>
      <c r="RRG45" s="685"/>
      <c r="RRH45" s="685"/>
      <c r="RRI45" s="685"/>
      <c r="RRJ45" s="685"/>
      <c r="RRK45" s="685"/>
      <c r="RRL45" s="685"/>
      <c r="RRM45" s="685"/>
      <c r="RRN45" s="685"/>
      <c r="RRO45" s="685"/>
      <c r="RRP45" s="685"/>
      <c r="RRQ45" s="685"/>
      <c r="RRR45" s="685"/>
      <c r="RRS45" s="685"/>
      <c r="RRT45" s="685"/>
      <c r="RRU45" s="685"/>
      <c r="RRV45" s="685"/>
      <c r="RRW45" s="685"/>
      <c r="RRX45" s="685"/>
      <c r="RRY45" s="685"/>
      <c r="RRZ45" s="685"/>
      <c r="RSA45" s="685"/>
      <c r="RSB45" s="685"/>
      <c r="RSC45" s="685"/>
      <c r="RSD45" s="685"/>
      <c r="RSE45" s="685"/>
      <c r="RSF45" s="685"/>
      <c r="RSG45" s="685"/>
      <c r="RSH45" s="685"/>
      <c r="RSI45" s="685"/>
      <c r="RSJ45" s="685"/>
      <c r="RSK45" s="685"/>
      <c r="RSL45" s="685"/>
      <c r="RSM45" s="685"/>
      <c r="RSN45" s="685"/>
      <c r="RSO45" s="685"/>
      <c r="RSP45" s="685"/>
      <c r="RSQ45" s="685"/>
      <c r="RSR45" s="685"/>
      <c r="RSS45" s="685"/>
      <c r="RST45" s="685"/>
      <c r="RSU45" s="685"/>
      <c r="RSV45" s="685"/>
      <c r="RSW45" s="685"/>
      <c r="RSX45" s="685"/>
      <c r="RSY45" s="685"/>
      <c r="RSZ45" s="685"/>
      <c r="RTA45" s="685"/>
      <c r="RTB45" s="685"/>
      <c r="RTC45" s="685"/>
      <c r="RTD45" s="685"/>
      <c r="RTE45" s="685"/>
      <c r="RTF45" s="685"/>
      <c r="RTG45" s="685"/>
      <c r="RTH45" s="685"/>
      <c r="RTI45" s="685"/>
      <c r="RTJ45" s="685"/>
      <c r="RTK45" s="685"/>
      <c r="RTL45" s="685"/>
      <c r="RTM45" s="685"/>
      <c r="RTN45" s="685"/>
      <c r="RTO45" s="685"/>
      <c r="RTP45" s="685"/>
      <c r="RTQ45" s="685"/>
      <c r="RTR45" s="685"/>
      <c r="RTS45" s="685"/>
      <c r="RTT45" s="685"/>
      <c r="RTU45" s="685"/>
      <c r="RTV45" s="685"/>
      <c r="RTW45" s="685"/>
      <c r="RTX45" s="685"/>
      <c r="RTY45" s="685"/>
      <c r="RTZ45" s="685"/>
      <c r="RUA45" s="685"/>
      <c r="RUB45" s="685"/>
      <c r="RUC45" s="685"/>
      <c r="RUD45" s="685"/>
      <c r="RUE45" s="685"/>
      <c r="RUF45" s="685"/>
      <c r="RUG45" s="685"/>
      <c r="RUH45" s="685"/>
      <c r="RUI45" s="685"/>
      <c r="RUJ45" s="685"/>
      <c r="RUK45" s="685"/>
      <c r="RUL45" s="685"/>
      <c r="RUM45" s="685"/>
      <c r="RUN45" s="685"/>
      <c r="RUO45" s="685"/>
      <c r="RUP45" s="685"/>
      <c r="RUQ45" s="685"/>
      <c r="RUR45" s="685"/>
      <c r="RUS45" s="685"/>
      <c r="RUT45" s="685"/>
      <c r="RUU45" s="685"/>
      <c r="RUV45" s="685"/>
      <c r="RUW45" s="685"/>
      <c r="RUX45" s="685"/>
      <c r="RUY45" s="685"/>
      <c r="RUZ45" s="685"/>
      <c r="RVA45" s="685"/>
      <c r="RVB45" s="685"/>
      <c r="RVC45" s="685"/>
      <c r="RVD45" s="685"/>
      <c r="RVE45" s="685"/>
      <c r="RVF45" s="685"/>
      <c r="RVG45" s="685"/>
      <c r="RVH45" s="685"/>
      <c r="RVI45" s="685"/>
      <c r="RVJ45" s="685"/>
      <c r="RVK45" s="685"/>
      <c r="RVL45" s="685"/>
      <c r="RVM45" s="685"/>
      <c r="RVN45" s="685"/>
      <c r="RVO45" s="685"/>
      <c r="RVP45" s="685"/>
      <c r="RVQ45" s="685"/>
      <c r="RVR45" s="685"/>
      <c r="RVS45" s="685"/>
      <c r="RVT45" s="685"/>
      <c r="RVU45" s="685"/>
      <c r="RVV45" s="685"/>
      <c r="RVW45" s="685"/>
      <c r="RVX45" s="685"/>
      <c r="RVY45" s="685"/>
      <c r="RVZ45" s="685"/>
      <c r="RWA45" s="685"/>
      <c r="RWB45" s="685"/>
      <c r="RWC45" s="685"/>
      <c r="RWD45" s="685"/>
      <c r="RWE45" s="685"/>
      <c r="RWF45" s="685"/>
      <c r="RWG45" s="685"/>
      <c r="RWH45" s="685"/>
      <c r="RWI45" s="685"/>
      <c r="RWJ45" s="685"/>
      <c r="RWK45" s="685"/>
      <c r="RWL45" s="685"/>
      <c r="RWM45" s="685"/>
      <c r="RWN45" s="685"/>
      <c r="RWO45" s="685"/>
      <c r="RWP45" s="685"/>
      <c r="RWQ45" s="685"/>
      <c r="RWR45" s="685"/>
      <c r="RWS45" s="685"/>
      <c r="RWT45" s="685"/>
      <c r="RWU45" s="685"/>
      <c r="RWV45" s="685"/>
      <c r="RWW45" s="685"/>
      <c r="RWX45" s="685"/>
      <c r="RWY45" s="685"/>
      <c r="RWZ45" s="685"/>
      <c r="RXA45" s="685"/>
      <c r="RXB45" s="685"/>
      <c r="RXC45" s="685"/>
      <c r="RXD45" s="685"/>
      <c r="RXE45" s="685"/>
      <c r="RXF45" s="685"/>
      <c r="RXG45" s="685"/>
      <c r="RXH45" s="685"/>
      <c r="RXI45" s="685"/>
      <c r="RXJ45" s="685"/>
      <c r="RXK45" s="685"/>
      <c r="RXL45" s="685"/>
      <c r="RXM45" s="685"/>
      <c r="RXN45" s="685"/>
      <c r="RXO45" s="685"/>
      <c r="RXP45" s="685"/>
      <c r="RXQ45" s="685"/>
      <c r="RXR45" s="685"/>
      <c r="RXS45" s="685"/>
      <c r="RXT45" s="685"/>
      <c r="RXU45" s="685"/>
      <c r="RXV45" s="685"/>
      <c r="RXW45" s="685"/>
      <c r="RXX45" s="685"/>
      <c r="RXY45" s="685"/>
      <c r="RXZ45" s="685"/>
      <c r="RYA45" s="685"/>
      <c r="RYB45" s="685"/>
      <c r="RYC45" s="685"/>
      <c r="RYD45" s="685"/>
      <c r="RYE45" s="685"/>
      <c r="RYF45" s="685"/>
      <c r="RYG45" s="685"/>
      <c r="RYH45" s="685"/>
      <c r="RYI45" s="685"/>
      <c r="RYJ45" s="685"/>
      <c r="RYK45" s="685"/>
      <c r="RYL45" s="685"/>
      <c r="RYM45" s="685"/>
      <c r="RYN45" s="685"/>
      <c r="RYO45" s="685"/>
      <c r="RYP45" s="685"/>
      <c r="RYQ45" s="685"/>
      <c r="RYR45" s="685"/>
      <c r="RYS45" s="685"/>
      <c r="RYT45" s="685"/>
      <c r="RYU45" s="685"/>
      <c r="RYV45" s="685"/>
      <c r="RYW45" s="685"/>
      <c r="RYX45" s="685"/>
      <c r="RYY45" s="685"/>
      <c r="RYZ45" s="685"/>
      <c r="RZA45" s="685"/>
      <c r="RZB45" s="685"/>
      <c r="RZC45" s="685"/>
      <c r="RZD45" s="685"/>
      <c r="RZE45" s="685"/>
      <c r="RZF45" s="685"/>
      <c r="RZG45" s="685"/>
      <c r="RZH45" s="685"/>
      <c r="RZI45" s="685"/>
      <c r="RZJ45" s="685"/>
      <c r="RZK45" s="685"/>
      <c r="RZL45" s="685"/>
      <c r="RZM45" s="685"/>
      <c r="RZN45" s="685"/>
      <c r="RZO45" s="685"/>
      <c r="RZP45" s="685"/>
      <c r="RZQ45" s="685"/>
      <c r="RZR45" s="685"/>
      <c r="RZS45" s="685"/>
      <c r="RZT45" s="685"/>
      <c r="RZU45" s="685"/>
      <c r="RZV45" s="685"/>
      <c r="RZW45" s="685"/>
      <c r="RZX45" s="685"/>
      <c r="RZY45" s="685"/>
      <c r="RZZ45" s="685"/>
      <c r="SAA45" s="685"/>
      <c r="SAB45" s="685"/>
      <c r="SAC45" s="685"/>
      <c r="SAD45" s="685"/>
      <c r="SAE45" s="685"/>
      <c r="SAF45" s="685"/>
      <c r="SAG45" s="685"/>
      <c r="SAH45" s="685"/>
      <c r="SAI45" s="685"/>
      <c r="SAJ45" s="685"/>
      <c r="SAK45" s="685"/>
      <c r="SAL45" s="685"/>
      <c r="SAM45" s="685"/>
      <c r="SAN45" s="685"/>
      <c r="SAO45" s="685"/>
      <c r="SAP45" s="685"/>
      <c r="SAQ45" s="685"/>
      <c r="SAR45" s="685"/>
      <c r="SAS45" s="685"/>
      <c r="SAT45" s="685"/>
      <c r="SAU45" s="685"/>
      <c r="SAV45" s="685"/>
      <c r="SAW45" s="685"/>
      <c r="SAX45" s="685"/>
      <c r="SAY45" s="685"/>
      <c r="SAZ45" s="685"/>
      <c r="SBA45" s="685"/>
      <c r="SBB45" s="685"/>
      <c r="SBC45" s="685"/>
      <c r="SBD45" s="685"/>
      <c r="SBE45" s="685"/>
      <c r="SBF45" s="685"/>
      <c r="SBG45" s="685"/>
      <c r="SBH45" s="685"/>
      <c r="SBI45" s="685"/>
      <c r="SBJ45" s="685"/>
      <c r="SBK45" s="685"/>
      <c r="SBL45" s="685"/>
      <c r="SBM45" s="685"/>
      <c r="SBN45" s="685"/>
      <c r="SBO45" s="685"/>
      <c r="SBP45" s="685"/>
      <c r="SBQ45" s="685"/>
      <c r="SBR45" s="685"/>
      <c r="SBS45" s="685"/>
      <c r="SBT45" s="685"/>
      <c r="SBU45" s="685"/>
      <c r="SBV45" s="685"/>
      <c r="SBW45" s="685"/>
      <c r="SBX45" s="685"/>
      <c r="SBY45" s="685"/>
      <c r="SBZ45" s="685"/>
      <c r="SCA45" s="685"/>
      <c r="SCB45" s="685"/>
      <c r="SCC45" s="685"/>
      <c r="SCD45" s="685"/>
      <c r="SCE45" s="685"/>
      <c r="SCF45" s="685"/>
      <c r="SCG45" s="685"/>
      <c r="SCH45" s="685"/>
      <c r="SCI45" s="685"/>
      <c r="SCJ45" s="685"/>
      <c r="SCK45" s="685"/>
      <c r="SCL45" s="685"/>
      <c r="SCM45" s="685"/>
      <c r="SCN45" s="685"/>
      <c r="SCO45" s="685"/>
      <c r="SCP45" s="685"/>
      <c r="SCQ45" s="685"/>
      <c r="SCR45" s="685"/>
      <c r="SCS45" s="685"/>
      <c r="SCT45" s="685"/>
      <c r="SCU45" s="685"/>
      <c r="SCV45" s="685"/>
      <c r="SCW45" s="685"/>
      <c r="SCX45" s="685"/>
      <c r="SCY45" s="685"/>
      <c r="SCZ45" s="685"/>
      <c r="SDA45" s="685"/>
      <c r="SDB45" s="685"/>
      <c r="SDC45" s="685"/>
      <c r="SDD45" s="685"/>
      <c r="SDE45" s="685"/>
      <c r="SDF45" s="685"/>
      <c r="SDG45" s="685"/>
      <c r="SDH45" s="685"/>
      <c r="SDI45" s="685"/>
      <c r="SDJ45" s="685"/>
      <c r="SDK45" s="685"/>
      <c r="SDL45" s="685"/>
      <c r="SDM45" s="685"/>
      <c r="SDN45" s="685"/>
      <c r="SDO45" s="685"/>
      <c r="SDP45" s="685"/>
      <c r="SDQ45" s="685"/>
      <c r="SDR45" s="685"/>
      <c r="SDS45" s="685"/>
      <c r="SDT45" s="685"/>
      <c r="SDU45" s="685"/>
      <c r="SDV45" s="685"/>
      <c r="SDW45" s="685"/>
      <c r="SDX45" s="685"/>
      <c r="SDY45" s="685"/>
      <c r="SDZ45" s="685"/>
      <c r="SEA45" s="685"/>
      <c r="SEB45" s="685"/>
      <c r="SEC45" s="685"/>
      <c r="SED45" s="685"/>
      <c r="SEE45" s="685"/>
      <c r="SEF45" s="685"/>
      <c r="SEG45" s="685"/>
      <c r="SEH45" s="685"/>
      <c r="SEI45" s="685"/>
      <c r="SEJ45" s="685"/>
      <c r="SEK45" s="685"/>
      <c r="SEL45" s="685"/>
      <c r="SEM45" s="685"/>
      <c r="SEN45" s="685"/>
      <c r="SEO45" s="685"/>
      <c r="SEP45" s="685"/>
      <c r="SEQ45" s="685"/>
      <c r="SER45" s="685"/>
      <c r="SES45" s="685"/>
      <c r="SET45" s="685"/>
      <c r="SEU45" s="685"/>
      <c r="SEV45" s="685"/>
      <c r="SEW45" s="685"/>
      <c r="SEX45" s="685"/>
      <c r="SEY45" s="685"/>
      <c r="SEZ45" s="685"/>
      <c r="SFA45" s="685"/>
      <c r="SFB45" s="685"/>
      <c r="SFC45" s="685"/>
      <c r="SFD45" s="685"/>
      <c r="SFE45" s="685"/>
      <c r="SFF45" s="685"/>
      <c r="SFG45" s="685"/>
      <c r="SFH45" s="685"/>
      <c r="SFI45" s="685"/>
      <c r="SFJ45" s="685"/>
      <c r="SFK45" s="685"/>
      <c r="SFL45" s="685"/>
      <c r="SFM45" s="685"/>
      <c r="SFN45" s="685"/>
      <c r="SFO45" s="685"/>
      <c r="SFP45" s="685"/>
      <c r="SFQ45" s="685"/>
      <c r="SFR45" s="685"/>
      <c r="SFS45" s="685"/>
      <c r="SFT45" s="685"/>
      <c r="SFU45" s="685"/>
      <c r="SFV45" s="685"/>
      <c r="SFW45" s="685"/>
      <c r="SFX45" s="685"/>
      <c r="SFY45" s="685"/>
      <c r="SFZ45" s="685"/>
      <c r="SGA45" s="685"/>
      <c r="SGB45" s="685"/>
      <c r="SGC45" s="685"/>
      <c r="SGD45" s="685"/>
      <c r="SGE45" s="685"/>
      <c r="SGF45" s="685"/>
      <c r="SGG45" s="685"/>
      <c r="SGH45" s="685"/>
      <c r="SGI45" s="685"/>
      <c r="SGJ45" s="685"/>
      <c r="SGK45" s="685"/>
      <c r="SGL45" s="685"/>
      <c r="SGM45" s="685"/>
      <c r="SGN45" s="685"/>
      <c r="SGO45" s="685"/>
      <c r="SGP45" s="685"/>
      <c r="SGQ45" s="685"/>
      <c r="SGR45" s="685"/>
      <c r="SGS45" s="685"/>
      <c r="SGT45" s="685"/>
      <c r="SGU45" s="685"/>
      <c r="SGV45" s="685"/>
      <c r="SGW45" s="685"/>
      <c r="SGX45" s="685"/>
      <c r="SGY45" s="685"/>
      <c r="SGZ45" s="685"/>
      <c r="SHA45" s="685"/>
      <c r="SHB45" s="685"/>
      <c r="SHC45" s="685"/>
      <c r="SHD45" s="685"/>
      <c r="SHE45" s="685"/>
      <c r="SHF45" s="685"/>
      <c r="SHG45" s="685"/>
      <c r="SHH45" s="685"/>
      <c r="SHI45" s="685"/>
      <c r="SHJ45" s="685"/>
      <c r="SHK45" s="685"/>
      <c r="SHL45" s="685"/>
      <c r="SHM45" s="685"/>
      <c r="SHN45" s="685"/>
      <c r="SHO45" s="685"/>
      <c r="SHP45" s="685"/>
      <c r="SHQ45" s="685"/>
      <c r="SHR45" s="685"/>
      <c r="SHS45" s="685"/>
      <c r="SHT45" s="685"/>
      <c r="SHU45" s="685"/>
      <c r="SHV45" s="685"/>
      <c r="SHW45" s="685"/>
      <c r="SHX45" s="685"/>
      <c r="SHY45" s="685"/>
      <c r="SHZ45" s="685"/>
      <c r="SIA45" s="685"/>
      <c r="SIB45" s="685"/>
      <c r="SIC45" s="685"/>
      <c r="SID45" s="685"/>
      <c r="SIE45" s="685"/>
      <c r="SIF45" s="685"/>
      <c r="SIG45" s="685"/>
      <c r="SIH45" s="685"/>
      <c r="SII45" s="685"/>
      <c r="SIJ45" s="685"/>
      <c r="SIK45" s="685"/>
      <c r="SIL45" s="685"/>
      <c r="SIM45" s="685"/>
      <c r="SIN45" s="685"/>
      <c r="SIO45" s="685"/>
      <c r="SIP45" s="685"/>
      <c r="SIQ45" s="685"/>
      <c r="SIR45" s="685"/>
      <c r="SIS45" s="685"/>
      <c r="SIT45" s="685"/>
      <c r="SIU45" s="685"/>
      <c r="SIV45" s="685"/>
      <c r="SIW45" s="685"/>
      <c r="SIX45" s="685"/>
      <c r="SIY45" s="685"/>
      <c r="SIZ45" s="685"/>
      <c r="SJA45" s="685"/>
      <c r="SJB45" s="685"/>
      <c r="SJC45" s="685"/>
      <c r="SJD45" s="685"/>
      <c r="SJE45" s="685"/>
      <c r="SJF45" s="685"/>
      <c r="SJG45" s="685"/>
      <c r="SJH45" s="685"/>
      <c r="SJI45" s="685"/>
      <c r="SJJ45" s="685"/>
      <c r="SJK45" s="685"/>
      <c r="SJL45" s="685"/>
      <c r="SJM45" s="685"/>
      <c r="SJN45" s="685"/>
      <c r="SJO45" s="685"/>
      <c r="SJP45" s="685"/>
      <c r="SJQ45" s="685"/>
      <c r="SJR45" s="685"/>
      <c r="SJS45" s="685"/>
      <c r="SJT45" s="685"/>
      <c r="SJU45" s="685"/>
      <c r="SJV45" s="685"/>
      <c r="SJW45" s="685"/>
      <c r="SJX45" s="685"/>
      <c r="SJY45" s="685"/>
      <c r="SJZ45" s="685"/>
      <c r="SKA45" s="685"/>
      <c r="SKB45" s="685"/>
      <c r="SKC45" s="685"/>
      <c r="SKD45" s="685"/>
      <c r="SKE45" s="685"/>
      <c r="SKF45" s="685"/>
      <c r="SKG45" s="685"/>
      <c r="SKH45" s="685"/>
      <c r="SKI45" s="685"/>
      <c r="SKJ45" s="685"/>
      <c r="SKK45" s="685"/>
      <c r="SKL45" s="685"/>
      <c r="SKM45" s="685"/>
      <c r="SKN45" s="685"/>
      <c r="SKO45" s="685"/>
      <c r="SKP45" s="685"/>
      <c r="SKQ45" s="685"/>
      <c r="SKR45" s="685"/>
      <c r="SKS45" s="685"/>
      <c r="SKT45" s="685"/>
      <c r="SKU45" s="685"/>
      <c r="SKV45" s="685"/>
      <c r="SKW45" s="685"/>
      <c r="SKX45" s="685"/>
      <c r="SKY45" s="685"/>
      <c r="SKZ45" s="685"/>
      <c r="SLA45" s="685"/>
      <c r="SLB45" s="685"/>
      <c r="SLC45" s="685"/>
      <c r="SLD45" s="685"/>
      <c r="SLE45" s="685"/>
      <c r="SLF45" s="685"/>
      <c r="SLG45" s="685"/>
      <c r="SLH45" s="685"/>
      <c r="SLI45" s="685"/>
      <c r="SLJ45" s="685"/>
      <c r="SLK45" s="685"/>
      <c r="SLL45" s="685"/>
      <c r="SLM45" s="685"/>
      <c r="SLN45" s="685"/>
      <c r="SLO45" s="685"/>
      <c r="SLP45" s="685"/>
      <c r="SLQ45" s="685"/>
      <c r="SLR45" s="685"/>
      <c r="SLS45" s="685"/>
      <c r="SLT45" s="685"/>
      <c r="SLU45" s="685"/>
      <c r="SLV45" s="685"/>
      <c r="SLW45" s="685"/>
      <c r="SLX45" s="685"/>
      <c r="SLY45" s="685"/>
      <c r="SLZ45" s="685"/>
      <c r="SMA45" s="685"/>
      <c r="SMB45" s="685"/>
      <c r="SMC45" s="685"/>
      <c r="SMD45" s="685"/>
      <c r="SME45" s="685"/>
      <c r="SMF45" s="685"/>
      <c r="SMG45" s="685"/>
      <c r="SMH45" s="685"/>
      <c r="SMI45" s="685"/>
      <c r="SMJ45" s="685"/>
      <c r="SMK45" s="685"/>
      <c r="SML45" s="685"/>
      <c r="SMM45" s="685"/>
      <c r="SMN45" s="685"/>
      <c r="SMO45" s="685"/>
      <c r="SMP45" s="685"/>
      <c r="SMQ45" s="685"/>
      <c r="SMR45" s="685"/>
      <c r="SMS45" s="685"/>
      <c r="SMT45" s="685"/>
      <c r="SMU45" s="685"/>
      <c r="SMV45" s="685"/>
      <c r="SMW45" s="685"/>
      <c r="SMX45" s="685"/>
      <c r="SMY45" s="685"/>
      <c r="SMZ45" s="685"/>
      <c r="SNA45" s="685"/>
      <c r="SNB45" s="685"/>
      <c r="SNC45" s="685"/>
      <c r="SND45" s="685"/>
      <c r="SNE45" s="685"/>
      <c r="SNF45" s="685"/>
      <c r="SNG45" s="685"/>
      <c r="SNH45" s="685"/>
      <c r="SNI45" s="685"/>
      <c r="SNJ45" s="685"/>
      <c r="SNK45" s="685"/>
      <c r="SNL45" s="685"/>
      <c r="SNM45" s="685"/>
      <c r="SNN45" s="685"/>
      <c r="SNO45" s="685"/>
      <c r="SNP45" s="685"/>
      <c r="SNQ45" s="685"/>
      <c r="SNR45" s="685"/>
      <c r="SNS45" s="685"/>
      <c r="SNT45" s="685"/>
      <c r="SNU45" s="685"/>
      <c r="SNV45" s="685"/>
      <c r="SNW45" s="685"/>
      <c r="SNX45" s="685"/>
      <c r="SNY45" s="685"/>
      <c r="SNZ45" s="685"/>
      <c r="SOA45" s="685"/>
      <c r="SOB45" s="685"/>
      <c r="SOC45" s="685"/>
      <c r="SOD45" s="685"/>
      <c r="SOE45" s="685"/>
      <c r="SOF45" s="685"/>
      <c r="SOG45" s="685"/>
      <c r="SOH45" s="685"/>
      <c r="SOI45" s="685"/>
      <c r="SOJ45" s="685"/>
      <c r="SOK45" s="685"/>
      <c r="SOL45" s="685"/>
      <c r="SOM45" s="685"/>
      <c r="SON45" s="685"/>
      <c r="SOO45" s="685"/>
      <c r="SOP45" s="685"/>
      <c r="SOQ45" s="685"/>
      <c r="SOR45" s="685"/>
      <c r="SOS45" s="685"/>
      <c r="SOT45" s="685"/>
      <c r="SOU45" s="685"/>
      <c r="SOV45" s="685"/>
      <c r="SOW45" s="685"/>
      <c r="SOX45" s="685"/>
      <c r="SOY45" s="685"/>
      <c r="SOZ45" s="685"/>
      <c r="SPA45" s="685"/>
      <c r="SPB45" s="685"/>
      <c r="SPC45" s="685"/>
      <c r="SPD45" s="685"/>
      <c r="SPE45" s="685"/>
      <c r="SPF45" s="685"/>
      <c r="SPG45" s="685"/>
      <c r="SPH45" s="685"/>
      <c r="SPI45" s="685"/>
      <c r="SPJ45" s="685"/>
      <c r="SPK45" s="685"/>
      <c r="SPL45" s="685"/>
      <c r="SPM45" s="685"/>
      <c r="SPN45" s="685"/>
      <c r="SPO45" s="685"/>
      <c r="SPP45" s="685"/>
      <c r="SPQ45" s="685"/>
      <c r="SPR45" s="685"/>
      <c r="SPS45" s="685"/>
      <c r="SPT45" s="685"/>
      <c r="SPU45" s="685"/>
      <c r="SPV45" s="685"/>
      <c r="SPW45" s="685"/>
      <c r="SPX45" s="685"/>
      <c r="SPY45" s="685"/>
      <c r="SPZ45" s="685"/>
      <c r="SQA45" s="685"/>
      <c r="SQB45" s="685"/>
      <c r="SQC45" s="685"/>
      <c r="SQD45" s="685"/>
      <c r="SQE45" s="685"/>
      <c r="SQF45" s="685"/>
      <c r="SQG45" s="685"/>
      <c r="SQH45" s="685"/>
      <c r="SQI45" s="685"/>
      <c r="SQJ45" s="685"/>
      <c r="SQK45" s="685"/>
      <c r="SQL45" s="685"/>
      <c r="SQM45" s="685"/>
      <c r="SQN45" s="685"/>
      <c r="SQO45" s="685"/>
      <c r="SQP45" s="685"/>
      <c r="SQQ45" s="685"/>
      <c r="SQR45" s="685"/>
      <c r="SQS45" s="685"/>
      <c r="SQT45" s="685"/>
      <c r="SQU45" s="685"/>
      <c r="SQV45" s="685"/>
      <c r="SQW45" s="685"/>
      <c r="SQX45" s="685"/>
      <c r="SQY45" s="685"/>
      <c r="SQZ45" s="685"/>
      <c r="SRA45" s="685"/>
      <c r="SRB45" s="685"/>
      <c r="SRC45" s="685"/>
      <c r="SRD45" s="685"/>
      <c r="SRE45" s="685"/>
      <c r="SRF45" s="685"/>
      <c r="SRG45" s="685"/>
      <c r="SRH45" s="685"/>
      <c r="SRI45" s="685"/>
      <c r="SRJ45" s="685"/>
      <c r="SRK45" s="685"/>
      <c r="SRL45" s="685"/>
      <c r="SRM45" s="685"/>
      <c r="SRN45" s="685"/>
      <c r="SRO45" s="685"/>
      <c r="SRP45" s="685"/>
      <c r="SRQ45" s="685"/>
      <c r="SRR45" s="685"/>
      <c r="SRS45" s="685"/>
      <c r="SRT45" s="685"/>
      <c r="SRU45" s="685"/>
      <c r="SRV45" s="685"/>
      <c r="SRW45" s="685"/>
      <c r="SRX45" s="685"/>
      <c r="SRY45" s="685"/>
      <c r="SRZ45" s="685"/>
      <c r="SSA45" s="685"/>
      <c r="SSB45" s="685"/>
      <c r="SSC45" s="685"/>
      <c r="SSD45" s="685"/>
      <c r="SSE45" s="685"/>
      <c r="SSF45" s="685"/>
      <c r="SSG45" s="685"/>
      <c r="SSH45" s="685"/>
      <c r="SSI45" s="685"/>
      <c r="SSJ45" s="685"/>
      <c r="SSK45" s="685"/>
      <c r="SSL45" s="685"/>
      <c r="SSM45" s="685"/>
      <c r="SSN45" s="685"/>
      <c r="SSO45" s="685"/>
      <c r="SSP45" s="685"/>
      <c r="SSQ45" s="685"/>
      <c r="SSR45" s="685"/>
      <c r="SSS45" s="685"/>
      <c r="SST45" s="685"/>
      <c r="SSU45" s="685"/>
      <c r="SSV45" s="685"/>
      <c r="SSW45" s="685"/>
      <c r="SSX45" s="685"/>
      <c r="SSY45" s="685"/>
      <c r="SSZ45" s="685"/>
      <c r="STA45" s="685"/>
      <c r="STB45" s="685"/>
      <c r="STC45" s="685"/>
      <c r="STD45" s="685"/>
      <c r="STE45" s="685"/>
      <c r="STF45" s="685"/>
      <c r="STG45" s="685"/>
      <c r="STH45" s="685"/>
      <c r="STI45" s="685"/>
      <c r="STJ45" s="685"/>
      <c r="STK45" s="685"/>
      <c r="STL45" s="685"/>
      <c r="STM45" s="685"/>
      <c r="STN45" s="685"/>
      <c r="STO45" s="685"/>
      <c r="STP45" s="685"/>
      <c r="STQ45" s="685"/>
      <c r="STR45" s="685"/>
      <c r="STS45" s="685"/>
      <c r="STT45" s="685"/>
      <c r="STU45" s="685"/>
      <c r="STV45" s="685"/>
      <c r="STW45" s="685"/>
      <c r="STX45" s="685"/>
      <c r="STY45" s="685"/>
      <c r="STZ45" s="685"/>
      <c r="SUA45" s="685"/>
      <c r="SUB45" s="685"/>
      <c r="SUC45" s="685"/>
      <c r="SUD45" s="685"/>
      <c r="SUE45" s="685"/>
      <c r="SUF45" s="685"/>
      <c r="SUG45" s="685"/>
      <c r="SUH45" s="685"/>
      <c r="SUI45" s="685"/>
      <c r="SUJ45" s="685"/>
      <c r="SUK45" s="685"/>
      <c r="SUL45" s="685"/>
      <c r="SUM45" s="685"/>
      <c r="SUN45" s="685"/>
      <c r="SUO45" s="685"/>
      <c r="SUP45" s="685"/>
      <c r="SUQ45" s="685"/>
      <c r="SUR45" s="685"/>
      <c r="SUS45" s="685"/>
      <c r="SUT45" s="685"/>
      <c r="SUU45" s="685"/>
      <c r="SUV45" s="685"/>
      <c r="SUW45" s="685"/>
      <c r="SUX45" s="685"/>
      <c r="SUY45" s="685"/>
      <c r="SUZ45" s="685"/>
      <c r="SVA45" s="685"/>
      <c r="SVB45" s="685"/>
      <c r="SVC45" s="685"/>
      <c r="SVD45" s="685"/>
      <c r="SVE45" s="685"/>
      <c r="SVF45" s="685"/>
      <c r="SVG45" s="685"/>
      <c r="SVH45" s="685"/>
      <c r="SVI45" s="685"/>
      <c r="SVJ45" s="685"/>
      <c r="SVK45" s="685"/>
      <c r="SVL45" s="685"/>
      <c r="SVM45" s="685"/>
      <c r="SVN45" s="685"/>
      <c r="SVO45" s="685"/>
      <c r="SVP45" s="685"/>
      <c r="SVQ45" s="685"/>
      <c r="SVR45" s="685"/>
      <c r="SVS45" s="685"/>
      <c r="SVT45" s="685"/>
      <c r="SVU45" s="685"/>
      <c r="SVV45" s="685"/>
      <c r="SVW45" s="685"/>
      <c r="SVX45" s="685"/>
      <c r="SVY45" s="685"/>
      <c r="SVZ45" s="685"/>
      <c r="SWA45" s="685"/>
      <c r="SWB45" s="685"/>
      <c r="SWC45" s="685"/>
      <c r="SWD45" s="685"/>
      <c r="SWE45" s="685"/>
      <c r="SWF45" s="685"/>
      <c r="SWG45" s="685"/>
      <c r="SWH45" s="685"/>
      <c r="SWI45" s="685"/>
      <c r="SWJ45" s="685"/>
      <c r="SWK45" s="685"/>
      <c r="SWL45" s="685"/>
      <c r="SWM45" s="685"/>
      <c r="SWN45" s="685"/>
      <c r="SWO45" s="685"/>
      <c r="SWP45" s="685"/>
      <c r="SWQ45" s="685"/>
      <c r="SWR45" s="685"/>
      <c r="SWS45" s="685"/>
      <c r="SWT45" s="685"/>
      <c r="SWU45" s="685"/>
      <c r="SWV45" s="685"/>
      <c r="SWW45" s="685"/>
      <c r="SWX45" s="685"/>
      <c r="SWY45" s="685"/>
      <c r="SWZ45" s="685"/>
      <c r="SXA45" s="685"/>
      <c r="SXB45" s="685"/>
      <c r="SXC45" s="685"/>
      <c r="SXD45" s="685"/>
      <c r="SXE45" s="685"/>
      <c r="SXF45" s="685"/>
      <c r="SXG45" s="685"/>
      <c r="SXH45" s="685"/>
      <c r="SXI45" s="685"/>
      <c r="SXJ45" s="685"/>
      <c r="SXK45" s="685"/>
      <c r="SXL45" s="685"/>
      <c r="SXM45" s="685"/>
      <c r="SXN45" s="685"/>
      <c r="SXO45" s="685"/>
      <c r="SXP45" s="685"/>
      <c r="SXQ45" s="685"/>
      <c r="SXR45" s="685"/>
      <c r="SXS45" s="685"/>
      <c r="SXT45" s="685"/>
      <c r="SXU45" s="685"/>
      <c r="SXV45" s="685"/>
      <c r="SXW45" s="685"/>
      <c r="SXX45" s="685"/>
      <c r="SXY45" s="685"/>
      <c r="SXZ45" s="685"/>
      <c r="SYA45" s="685"/>
      <c r="SYB45" s="685"/>
      <c r="SYC45" s="685"/>
      <c r="SYD45" s="685"/>
      <c r="SYE45" s="685"/>
      <c r="SYF45" s="685"/>
      <c r="SYG45" s="685"/>
      <c r="SYH45" s="685"/>
      <c r="SYI45" s="685"/>
      <c r="SYJ45" s="685"/>
      <c r="SYK45" s="685"/>
      <c r="SYL45" s="685"/>
      <c r="SYM45" s="685"/>
      <c r="SYN45" s="685"/>
      <c r="SYO45" s="685"/>
      <c r="SYP45" s="685"/>
      <c r="SYQ45" s="685"/>
      <c r="SYR45" s="685"/>
      <c r="SYS45" s="685"/>
      <c r="SYT45" s="685"/>
      <c r="SYU45" s="685"/>
      <c r="SYV45" s="685"/>
      <c r="SYW45" s="685"/>
      <c r="SYX45" s="685"/>
      <c r="SYY45" s="685"/>
      <c r="SYZ45" s="685"/>
      <c r="SZA45" s="685"/>
      <c r="SZB45" s="685"/>
      <c r="SZC45" s="685"/>
      <c r="SZD45" s="685"/>
      <c r="SZE45" s="685"/>
      <c r="SZF45" s="685"/>
      <c r="SZG45" s="685"/>
      <c r="SZH45" s="685"/>
      <c r="SZI45" s="685"/>
      <c r="SZJ45" s="685"/>
      <c r="SZK45" s="685"/>
      <c r="SZL45" s="685"/>
      <c r="SZM45" s="685"/>
      <c r="SZN45" s="685"/>
      <c r="SZO45" s="685"/>
      <c r="SZP45" s="685"/>
      <c r="SZQ45" s="685"/>
      <c r="SZR45" s="685"/>
      <c r="SZS45" s="685"/>
      <c r="SZT45" s="685"/>
      <c r="SZU45" s="685"/>
      <c r="SZV45" s="685"/>
      <c r="SZW45" s="685"/>
      <c r="SZX45" s="685"/>
      <c r="SZY45" s="685"/>
      <c r="SZZ45" s="685"/>
      <c r="TAA45" s="685"/>
      <c r="TAB45" s="685"/>
      <c r="TAC45" s="685"/>
      <c r="TAD45" s="685"/>
      <c r="TAE45" s="685"/>
      <c r="TAF45" s="685"/>
      <c r="TAG45" s="685"/>
      <c r="TAH45" s="685"/>
      <c r="TAI45" s="685"/>
      <c r="TAJ45" s="685"/>
      <c r="TAK45" s="685"/>
      <c r="TAL45" s="685"/>
      <c r="TAM45" s="685"/>
      <c r="TAN45" s="685"/>
      <c r="TAO45" s="685"/>
      <c r="TAP45" s="685"/>
      <c r="TAQ45" s="685"/>
      <c r="TAR45" s="685"/>
      <c r="TAS45" s="685"/>
      <c r="TAT45" s="685"/>
      <c r="TAU45" s="685"/>
      <c r="TAV45" s="685"/>
      <c r="TAW45" s="685"/>
      <c r="TAX45" s="685"/>
      <c r="TAY45" s="685"/>
      <c r="TAZ45" s="685"/>
      <c r="TBA45" s="685"/>
      <c r="TBB45" s="685"/>
      <c r="TBC45" s="685"/>
      <c r="TBD45" s="685"/>
      <c r="TBE45" s="685"/>
      <c r="TBF45" s="685"/>
      <c r="TBG45" s="685"/>
      <c r="TBH45" s="685"/>
      <c r="TBI45" s="685"/>
      <c r="TBJ45" s="685"/>
      <c r="TBK45" s="685"/>
      <c r="TBL45" s="685"/>
      <c r="TBM45" s="685"/>
      <c r="TBN45" s="685"/>
      <c r="TBO45" s="685"/>
      <c r="TBP45" s="685"/>
      <c r="TBQ45" s="685"/>
      <c r="TBR45" s="685"/>
      <c r="TBS45" s="685"/>
      <c r="TBT45" s="685"/>
      <c r="TBU45" s="685"/>
      <c r="TBV45" s="685"/>
      <c r="TBW45" s="685"/>
      <c r="TBX45" s="685"/>
      <c r="TBY45" s="685"/>
      <c r="TBZ45" s="685"/>
      <c r="TCA45" s="685"/>
      <c r="TCB45" s="685"/>
      <c r="TCC45" s="685"/>
      <c r="TCD45" s="685"/>
      <c r="TCE45" s="685"/>
      <c r="TCF45" s="685"/>
      <c r="TCG45" s="685"/>
      <c r="TCH45" s="685"/>
      <c r="TCI45" s="685"/>
      <c r="TCJ45" s="685"/>
      <c r="TCK45" s="685"/>
      <c r="TCL45" s="685"/>
      <c r="TCM45" s="685"/>
      <c r="TCN45" s="685"/>
      <c r="TCO45" s="685"/>
      <c r="TCP45" s="685"/>
      <c r="TCQ45" s="685"/>
      <c r="TCR45" s="685"/>
      <c r="TCS45" s="685"/>
      <c r="TCT45" s="685"/>
      <c r="TCU45" s="685"/>
      <c r="TCV45" s="685"/>
      <c r="TCW45" s="685"/>
      <c r="TCX45" s="685"/>
      <c r="TCY45" s="685"/>
      <c r="TCZ45" s="685"/>
      <c r="TDA45" s="685"/>
      <c r="TDB45" s="685"/>
      <c r="TDC45" s="685"/>
      <c r="TDD45" s="685"/>
      <c r="TDE45" s="685"/>
      <c r="TDF45" s="685"/>
      <c r="TDG45" s="685"/>
      <c r="TDH45" s="685"/>
      <c r="TDI45" s="685"/>
      <c r="TDJ45" s="685"/>
      <c r="TDK45" s="685"/>
      <c r="TDL45" s="685"/>
      <c r="TDM45" s="685"/>
      <c r="TDN45" s="685"/>
      <c r="TDO45" s="685"/>
      <c r="TDP45" s="685"/>
      <c r="TDQ45" s="685"/>
      <c r="TDR45" s="685"/>
      <c r="TDS45" s="685"/>
      <c r="TDT45" s="685"/>
      <c r="TDU45" s="685"/>
      <c r="TDV45" s="685"/>
      <c r="TDW45" s="685"/>
      <c r="TDX45" s="685"/>
      <c r="TDY45" s="685"/>
      <c r="TDZ45" s="685"/>
      <c r="TEA45" s="685"/>
      <c r="TEB45" s="685"/>
      <c r="TEC45" s="685"/>
      <c r="TED45" s="685"/>
      <c r="TEE45" s="685"/>
      <c r="TEF45" s="685"/>
      <c r="TEG45" s="685"/>
      <c r="TEH45" s="685"/>
      <c r="TEI45" s="685"/>
      <c r="TEJ45" s="685"/>
      <c r="TEK45" s="685"/>
      <c r="TEL45" s="685"/>
      <c r="TEM45" s="685"/>
      <c r="TEN45" s="685"/>
      <c r="TEO45" s="685"/>
      <c r="TEP45" s="685"/>
      <c r="TEQ45" s="685"/>
      <c r="TER45" s="685"/>
      <c r="TES45" s="685"/>
      <c r="TET45" s="685"/>
      <c r="TEU45" s="685"/>
      <c r="TEV45" s="685"/>
      <c r="TEW45" s="685"/>
      <c r="TEX45" s="685"/>
      <c r="TEY45" s="685"/>
      <c r="TEZ45" s="685"/>
      <c r="TFA45" s="685"/>
      <c r="TFB45" s="685"/>
      <c r="TFC45" s="685"/>
      <c r="TFD45" s="685"/>
      <c r="TFE45" s="685"/>
      <c r="TFF45" s="685"/>
      <c r="TFG45" s="685"/>
      <c r="TFH45" s="685"/>
      <c r="TFI45" s="685"/>
      <c r="TFJ45" s="685"/>
      <c r="TFK45" s="685"/>
      <c r="TFL45" s="685"/>
      <c r="TFM45" s="685"/>
      <c r="TFN45" s="685"/>
      <c r="TFO45" s="685"/>
      <c r="TFP45" s="685"/>
      <c r="TFQ45" s="685"/>
      <c r="TFR45" s="685"/>
      <c r="TFS45" s="685"/>
      <c r="TFT45" s="685"/>
      <c r="TFU45" s="685"/>
      <c r="TFV45" s="685"/>
      <c r="TFW45" s="685"/>
      <c r="TFX45" s="685"/>
      <c r="TFY45" s="685"/>
      <c r="TFZ45" s="685"/>
      <c r="TGA45" s="685"/>
      <c r="TGB45" s="685"/>
      <c r="TGC45" s="685"/>
      <c r="TGD45" s="685"/>
      <c r="TGE45" s="685"/>
      <c r="TGF45" s="685"/>
      <c r="TGG45" s="685"/>
      <c r="TGH45" s="685"/>
      <c r="TGI45" s="685"/>
      <c r="TGJ45" s="685"/>
      <c r="TGK45" s="685"/>
      <c r="TGL45" s="685"/>
      <c r="TGM45" s="685"/>
      <c r="TGN45" s="685"/>
      <c r="TGO45" s="685"/>
      <c r="TGP45" s="685"/>
      <c r="TGQ45" s="685"/>
      <c r="TGR45" s="685"/>
      <c r="TGS45" s="685"/>
      <c r="TGT45" s="685"/>
      <c r="TGU45" s="685"/>
      <c r="TGV45" s="685"/>
      <c r="TGW45" s="685"/>
      <c r="TGX45" s="685"/>
      <c r="TGY45" s="685"/>
      <c r="TGZ45" s="685"/>
      <c r="THA45" s="685"/>
      <c r="THB45" s="685"/>
      <c r="THC45" s="685"/>
      <c r="THD45" s="685"/>
      <c r="THE45" s="685"/>
      <c r="THF45" s="685"/>
      <c r="THG45" s="685"/>
      <c r="THH45" s="685"/>
      <c r="THI45" s="685"/>
      <c r="THJ45" s="685"/>
      <c r="THK45" s="685"/>
      <c r="THL45" s="685"/>
      <c r="THM45" s="685"/>
      <c r="THN45" s="685"/>
      <c r="THO45" s="685"/>
      <c r="THP45" s="685"/>
      <c r="THQ45" s="685"/>
      <c r="THR45" s="685"/>
      <c r="THS45" s="685"/>
      <c r="THT45" s="685"/>
      <c r="THU45" s="685"/>
      <c r="THV45" s="685"/>
      <c r="THW45" s="685"/>
      <c r="THX45" s="685"/>
      <c r="THY45" s="685"/>
      <c r="THZ45" s="685"/>
      <c r="TIA45" s="685"/>
      <c r="TIB45" s="685"/>
      <c r="TIC45" s="685"/>
      <c r="TID45" s="685"/>
      <c r="TIE45" s="685"/>
      <c r="TIF45" s="685"/>
      <c r="TIG45" s="685"/>
      <c r="TIH45" s="685"/>
      <c r="TII45" s="685"/>
      <c r="TIJ45" s="685"/>
      <c r="TIK45" s="685"/>
      <c r="TIL45" s="685"/>
      <c r="TIM45" s="685"/>
      <c r="TIN45" s="685"/>
      <c r="TIO45" s="685"/>
      <c r="TIP45" s="685"/>
      <c r="TIQ45" s="685"/>
      <c r="TIR45" s="685"/>
      <c r="TIS45" s="685"/>
      <c r="TIT45" s="685"/>
      <c r="TIU45" s="685"/>
      <c r="TIV45" s="685"/>
      <c r="TIW45" s="685"/>
      <c r="TIX45" s="685"/>
      <c r="TIY45" s="685"/>
      <c r="TIZ45" s="685"/>
      <c r="TJA45" s="685"/>
      <c r="TJB45" s="685"/>
      <c r="TJC45" s="685"/>
      <c r="TJD45" s="685"/>
      <c r="TJE45" s="685"/>
      <c r="TJF45" s="685"/>
      <c r="TJG45" s="685"/>
      <c r="TJH45" s="685"/>
      <c r="TJI45" s="685"/>
      <c r="TJJ45" s="685"/>
      <c r="TJK45" s="685"/>
      <c r="TJL45" s="685"/>
      <c r="TJM45" s="685"/>
      <c r="TJN45" s="685"/>
      <c r="TJO45" s="685"/>
      <c r="TJP45" s="685"/>
      <c r="TJQ45" s="685"/>
      <c r="TJR45" s="685"/>
      <c r="TJS45" s="685"/>
      <c r="TJT45" s="685"/>
      <c r="TJU45" s="685"/>
      <c r="TJV45" s="685"/>
      <c r="TJW45" s="685"/>
      <c r="TJX45" s="685"/>
      <c r="TJY45" s="685"/>
      <c r="TJZ45" s="685"/>
      <c r="TKA45" s="685"/>
      <c r="TKB45" s="685"/>
      <c r="TKC45" s="685"/>
      <c r="TKD45" s="685"/>
      <c r="TKE45" s="685"/>
      <c r="TKF45" s="685"/>
      <c r="TKG45" s="685"/>
      <c r="TKH45" s="685"/>
      <c r="TKI45" s="685"/>
      <c r="TKJ45" s="685"/>
      <c r="TKK45" s="685"/>
      <c r="TKL45" s="685"/>
      <c r="TKM45" s="685"/>
      <c r="TKN45" s="685"/>
      <c r="TKO45" s="685"/>
      <c r="TKP45" s="685"/>
      <c r="TKQ45" s="685"/>
      <c r="TKR45" s="685"/>
      <c r="TKS45" s="685"/>
      <c r="TKT45" s="685"/>
      <c r="TKU45" s="685"/>
      <c r="TKV45" s="685"/>
      <c r="TKW45" s="685"/>
      <c r="TKX45" s="685"/>
      <c r="TKY45" s="685"/>
      <c r="TKZ45" s="685"/>
      <c r="TLA45" s="685"/>
      <c r="TLB45" s="685"/>
      <c r="TLC45" s="685"/>
      <c r="TLD45" s="685"/>
      <c r="TLE45" s="685"/>
      <c r="TLF45" s="685"/>
      <c r="TLG45" s="685"/>
      <c r="TLH45" s="685"/>
      <c r="TLI45" s="685"/>
      <c r="TLJ45" s="685"/>
      <c r="TLK45" s="685"/>
      <c r="TLL45" s="685"/>
      <c r="TLM45" s="685"/>
      <c r="TLN45" s="685"/>
      <c r="TLO45" s="685"/>
      <c r="TLP45" s="685"/>
      <c r="TLQ45" s="685"/>
      <c r="TLR45" s="685"/>
      <c r="TLS45" s="685"/>
      <c r="TLT45" s="685"/>
      <c r="TLU45" s="685"/>
      <c r="TLV45" s="685"/>
      <c r="TLW45" s="685"/>
      <c r="TLX45" s="685"/>
      <c r="TLY45" s="685"/>
      <c r="TLZ45" s="685"/>
      <c r="TMA45" s="685"/>
      <c r="TMB45" s="685"/>
      <c r="TMC45" s="685"/>
      <c r="TMD45" s="685"/>
      <c r="TME45" s="685"/>
      <c r="TMF45" s="685"/>
      <c r="TMG45" s="685"/>
      <c r="TMH45" s="685"/>
      <c r="TMI45" s="685"/>
      <c r="TMJ45" s="685"/>
      <c r="TMK45" s="685"/>
      <c r="TML45" s="685"/>
      <c r="TMM45" s="685"/>
      <c r="TMN45" s="685"/>
      <c r="TMO45" s="685"/>
      <c r="TMP45" s="685"/>
      <c r="TMQ45" s="685"/>
      <c r="TMR45" s="685"/>
      <c r="TMS45" s="685"/>
      <c r="TMT45" s="685"/>
      <c r="TMU45" s="685"/>
      <c r="TMV45" s="685"/>
      <c r="TMW45" s="685"/>
      <c r="TMX45" s="685"/>
      <c r="TMY45" s="685"/>
      <c r="TMZ45" s="685"/>
      <c r="TNA45" s="685"/>
      <c r="TNB45" s="685"/>
      <c r="TNC45" s="685"/>
      <c r="TND45" s="685"/>
      <c r="TNE45" s="685"/>
      <c r="TNF45" s="685"/>
      <c r="TNG45" s="685"/>
      <c r="TNH45" s="685"/>
      <c r="TNI45" s="685"/>
      <c r="TNJ45" s="685"/>
      <c r="TNK45" s="685"/>
      <c r="TNL45" s="685"/>
      <c r="TNM45" s="685"/>
      <c r="TNN45" s="685"/>
      <c r="TNO45" s="685"/>
      <c r="TNP45" s="685"/>
      <c r="TNQ45" s="685"/>
      <c r="TNR45" s="685"/>
      <c r="TNS45" s="685"/>
      <c r="TNT45" s="685"/>
      <c r="TNU45" s="685"/>
      <c r="TNV45" s="685"/>
      <c r="TNW45" s="685"/>
      <c r="TNX45" s="685"/>
      <c r="TNY45" s="685"/>
      <c r="TNZ45" s="685"/>
      <c r="TOA45" s="685"/>
      <c r="TOB45" s="685"/>
      <c r="TOC45" s="685"/>
      <c r="TOD45" s="685"/>
      <c r="TOE45" s="685"/>
      <c r="TOF45" s="685"/>
      <c r="TOG45" s="685"/>
      <c r="TOH45" s="685"/>
      <c r="TOI45" s="685"/>
      <c r="TOJ45" s="685"/>
      <c r="TOK45" s="685"/>
      <c r="TOL45" s="685"/>
      <c r="TOM45" s="685"/>
      <c r="TON45" s="685"/>
      <c r="TOO45" s="685"/>
      <c r="TOP45" s="685"/>
      <c r="TOQ45" s="685"/>
      <c r="TOR45" s="685"/>
      <c r="TOS45" s="685"/>
      <c r="TOT45" s="685"/>
      <c r="TOU45" s="685"/>
      <c r="TOV45" s="685"/>
      <c r="TOW45" s="685"/>
      <c r="TOX45" s="685"/>
      <c r="TOY45" s="685"/>
      <c r="TOZ45" s="685"/>
      <c r="TPA45" s="685"/>
      <c r="TPB45" s="685"/>
      <c r="TPC45" s="685"/>
      <c r="TPD45" s="685"/>
      <c r="TPE45" s="685"/>
      <c r="TPF45" s="685"/>
      <c r="TPG45" s="685"/>
      <c r="TPH45" s="685"/>
      <c r="TPI45" s="685"/>
      <c r="TPJ45" s="685"/>
      <c r="TPK45" s="685"/>
      <c r="TPL45" s="685"/>
      <c r="TPM45" s="685"/>
      <c r="TPN45" s="685"/>
      <c r="TPO45" s="685"/>
      <c r="TPP45" s="685"/>
      <c r="TPQ45" s="685"/>
      <c r="TPR45" s="685"/>
      <c r="TPS45" s="685"/>
      <c r="TPT45" s="685"/>
      <c r="TPU45" s="685"/>
      <c r="TPV45" s="685"/>
      <c r="TPW45" s="685"/>
      <c r="TPX45" s="685"/>
      <c r="TPY45" s="685"/>
      <c r="TPZ45" s="685"/>
      <c r="TQA45" s="685"/>
      <c r="TQB45" s="685"/>
      <c r="TQC45" s="685"/>
      <c r="TQD45" s="685"/>
      <c r="TQE45" s="685"/>
      <c r="TQF45" s="685"/>
      <c r="TQG45" s="685"/>
      <c r="TQH45" s="685"/>
      <c r="TQI45" s="685"/>
      <c r="TQJ45" s="685"/>
      <c r="TQK45" s="685"/>
      <c r="TQL45" s="685"/>
      <c r="TQM45" s="685"/>
      <c r="TQN45" s="685"/>
      <c r="TQO45" s="685"/>
      <c r="TQP45" s="685"/>
      <c r="TQQ45" s="685"/>
      <c r="TQR45" s="685"/>
      <c r="TQS45" s="685"/>
      <c r="TQT45" s="685"/>
      <c r="TQU45" s="685"/>
      <c r="TQV45" s="685"/>
      <c r="TQW45" s="685"/>
      <c r="TQX45" s="685"/>
      <c r="TQY45" s="685"/>
      <c r="TQZ45" s="685"/>
      <c r="TRA45" s="685"/>
      <c r="TRB45" s="685"/>
      <c r="TRC45" s="685"/>
      <c r="TRD45" s="685"/>
      <c r="TRE45" s="685"/>
      <c r="TRF45" s="685"/>
      <c r="TRG45" s="685"/>
      <c r="TRH45" s="685"/>
      <c r="TRI45" s="685"/>
      <c r="TRJ45" s="685"/>
      <c r="TRK45" s="685"/>
      <c r="TRL45" s="685"/>
      <c r="TRM45" s="685"/>
      <c r="TRN45" s="685"/>
      <c r="TRO45" s="685"/>
      <c r="TRP45" s="685"/>
      <c r="TRQ45" s="685"/>
      <c r="TRR45" s="685"/>
      <c r="TRS45" s="685"/>
      <c r="TRT45" s="685"/>
      <c r="TRU45" s="685"/>
      <c r="TRV45" s="685"/>
      <c r="TRW45" s="685"/>
      <c r="TRX45" s="685"/>
      <c r="TRY45" s="685"/>
      <c r="TRZ45" s="685"/>
      <c r="TSA45" s="685"/>
      <c r="TSB45" s="685"/>
      <c r="TSC45" s="685"/>
      <c r="TSD45" s="685"/>
      <c r="TSE45" s="685"/>
      <c r="TSF45" s="685"/>
      <c r="TSG45" s="685"/>
      <c r="TSH45" s="685"/>
      <c r="TSI45" s="685"/>
      <c r="TSJ45" s="685"/>
      <c r="TSK45" s="685"/>
      <c r="TSL45" s="685"/>
      <c r="TSM45" s="685"/>
      <c r="TSN45" s="685"/>
      <c r="TSO45" s="685"/>
      <c r="TSP45" s="685"/>
      <c r="TSQ45" s="685"/>
      <c r="TSR45" s="685"/>
      <c r="TSS45" s="685"/>
      <c r="TST45" s="685"/>
      <c r="TSU45" s="685"/>
      <c r="TSV45" s="685"/>
      <c r="TSW45" s="685"/>
      <c r="TSX45" s="685"/>
      <c r="TSY45" s="685"/>
      <c r="TSZ45" s="685"/>
      <c r="TTA45" s="685"/>
      <c r="TTB45" s="685"/>
      <c r="TTC45" s="685"/>
      <c r="TTD45" s="685"/>
      <c r="TTE45" s="685"/>
      <c r="TTF45" s="685"/>
      <c r="TTG45" s="685"/>
      <c r="TTH45" s="685"/>
      <c r="TTI45" s="685"/>
      <c r="TTJ45" s="685"/>
      <c r="TTK45" s="685"/>
      <c r="TTL45" s="685"/>
      <c r="TTM45" s="685"/>
      <c r="TTN45" s="685"/>
      <c r="TTO45" s="685"/>
      <c r="TTP45" s="685"/>
      <c r="TTQ45" s="685"/>
      <c r="TTR45" s="685"/>
      <c r="TTS45" s="685"/>
      <c r="TTT45" s="685"/>
      <c r="TTU45" s="685"/>
      <c r="TTV45" s="685"/>
      <c r="TTW45" s="685"/>
      <c r="TTX45" s="685"/>
      <c r="TTY45" s="685"/>
      <c r="TTZ45" s="685"/>
      <c r="TUA45" s="685"/>
      <c r="TUB45" s="685"/>
      <c r="TUC45" s="685"/>
      <c r="TUD45" s="685"/>
      <c r="TUE45" s="685"/>
      <c r="TUF45" s="685"/>
      <c r="TUG45" s="685"/>
      <c r="TUH45" s="685"/>
      <c r="TUI45" s="685"/>
      <c r="TUJ45" s="685"/>
      <c r="TUK45" s="685"/>
      <c r="TUL45" s="685"/>
      <c r="TUM45" s="685"/>
      <c r="TUN45" s="685"/>
      <c r="TUO45" s="685"/>
      <c r="TUP45" s="685"/>
      <c r="TUQ45" s="685"/>
      <c r="TUR45" s="685"/>
      <c r="TUS45" s="685"/>
      <c r="TUT45" s="685"/>
      <c r="TUU45" s="685"/>
      <c r="TUV45" s="685"/>
      <c r="TUW45" s="685"/>
      <c r="TUX45" s="685"/>
      <c r="TUY45" s="685"/>
      <c r="TUZ45" s="685"/>
      <c r="TVA45" s="685"/>
      <c r="TVB45" s="685"/>
      <c r="TVC45" s="685"/>
      <c r="TVD45" s="685"/>
      <c r="TVE45" s="685"/>
      <c r="TVF45" s="685"/>
      <c r="TVG45" s="685"/>
      <c r="TVH45" s="685"/>
      <c r="TVI45" s="685"/>
      <c r="TVJ45" s="685"/>
      <c r="TVK45" s="685"/>
      <c r="TVL45" s="685"/>
      <c r="TVM45" s="685"/>
      <c r="TVN45" s="685"/>
      <c r="TVO45" s="685"/>
      <c r="TVP45" s="685"/>
      <c r="TVQ45" s="685"/>
      <c r="TVR45" s="685"/>
      <c r="TVS45" s="685"/>
      <c r="TVT45" s="685"/>
      <c r="TVU45" s="685"/>
      <c r="TVV45" s="685"/>
      <c r="TVW45" s="685"/>
      <c r="TVX45" s="685"/>
      <c r="TVY45" s="685"/>
      <c r="TVZ45" s="685"/>
      <c r="TWA45" s="685"/>
      <c r="TWB45" s="685"/>
      <c r="TWC45" s="685"/>
      <c r="TWD45" s="685"/>
      <c r="TWE45" s="685"/>
      <c r="TWF45" s="685"/>
      <c r="TWG45" s="685"/>
      <c r="TWH45" s="685"/>
      <c r="TWI45" s="685"/>
      <c r="TWJ45" s="685"/>
      <c r="TWK45" s="685"/>
      <c r="TWL45" s="685"/>
      <c r="TWM45" s="685"/>
      <c r="TWN45" s="685"/>
      <c r="TWO45" s="685"/>
      <c r="TWP45" s="685"/>
      <c r="TWQ45" s="685"/>
      <c r="TWR45" s="685"/>
      <c r="TWS45" s="685"/>
      <c r="TWT45" s="685"/>
      <c r="TWU45" s="685"/>
      <c r="TWV45" s="685"/>
      <c r="TWW45" s="685"/>
      <c r="TWX45" s="685"/>
      <c r="TWY45" s="685"/>
      <c r="TWZ45" s="685"/>
      <c r="TXA45" s="685"/>
      <c r="TXB45" s="685"/>
      <c r="TXC45" s="685"/>
      <c r="TXD45" s="685"/>
      <c r="TXE45" s="685"/>
      <c r="TXF45" s="685"/>
      <c r="TXG45" s="685"/>
      <c r="TXH45" s="685"/>
      <c r="TXI45" s="685"/>
      <c r="TXJ45" s="685"/>
      <c r="TXK45" s="685"/>
      <c r="TXL45" s="685"/>
      <c r="TXM45" s="685"/>
      <c r="TXN45" s="685"/>
      <c r="TXO45" s="685"/>
      <c r="TXP45" s="685"/>
      <c r="TXQ45" s="685"/>
      <c r="TXR45" s="685"/>
      <c r="TXS45" s="685"/>
      <c r="TXT45" s="685"/>
      <c r="TXU45" s="685"/>
      <c r="TXV45" s="685"/>
      <c r="TXW45" s="685"/>
      <c r="TXX45" s="685"/>
      <c r="TXY45" s="685"/>
      <c r="TXZ45" s="685"/>
      <c r="TYA45" s="685"/>
      <c r="TYB45" s="685"/>
      <c r="TYC45" s="685"/>
      <c r="TYD45" s="685"/>
      <c r="TYE45" s="685"/>
      <c r="TYF45" s="685"/>
      <c r="TYG45" s="685"/>
      <c r="TYH45" s="685"/>
      <c r="TYI45" s="685"/>
      <c r="TYJ45" s="685"/>
      <c r="TYK45" s="685"/>
      <c r="TYL45" s="685"/>
      <c r="TYM45" s="685"/>
      <c r="TYN45" s="685"/>
      <c r="TYO45" s="685"/>
      <c r="TYP45" s="685"/>
      <c r="TYQ45" s="685"/>
      <c r="TYR45" s="685"/>
      <c r="TYS45" s="685"/>
      <c r="TYT45" s="685"/>
      <c r="TYU45" s="685"/>
      <c r="TYV45" s="685"/>
      <c r="TYW45" s="685"/>
      <c r="TYX45" s="685"/>
      <c r="TYY45" s="685"/>
      <c r="TYZ45" s="685"/>
      <c r="TZA45" s="685"/>
      <c r="TZB45" s="685"/>
      <c r="TZC45" s="685"/>
      <c r="TZD45" s="685"/>
      <c r="TZE45" s="685"/>
      <c r="TZF45" s="685"/>
      <c r="TZG45" s="685"/>
      <c r="TZH45" s="685"/>
      <c r="TZI45" s="685"/>
      <c r="TZJ45" s="685"/>
      <c r="TZK45" s="685"/>
      <c r="TZL45" s="685"/>
      <c r="TZM45" s="685"/>
      <c r="TZN45" s="685"/>
      <c r="TZO45" s="685"/>
      <c r="TZP45" s="685"/>
      <c r="TZQ45" s="685"/>
      <c r="TZR45" s="685"/>
      <c r="TZS45" s="685"/>
      <c r="TZT45" s="685"/>
      <c r="TZU45" s="685"/>
      <c r="TZV45" s="685"/>
      <c r="TZW45" s="685"/>
      <c r="TZX45" s="685"/>
      <c r="TZY45" s="685"/>
      <c r="TZZ45" s="685"/>
      <c r="UAA45" s="685"/>
      <c r="UAB45" s="685"/>
      <c r="UAC45" s="685"/>
      <c r="UAD45" s="685"/>
      <c r="UAE45" s="685"/>
      <c r="UAF45" s="685"/>
      <c r="UAG45" s="685"/>
      <c r="UAH45" s="685"/>
      <c r="UAI45" s="685"/>
      <c r="UAJ45" s="685"/>
      <c r="UAK45" s="685"/>
      <c r="UAL45" s="685"/>
      <c r="UAM45" s="685"/>
      <c r="UAN45" s="685"/>
      <c r="UAO45" s="685"/>
      <c r="UAP45" s="685"/>
      <c r="UAQ45" s="685"/>
      <c r="UAR45" s="685"/>
      <c r="UAS45" s="685"/>
      <c r="UAT45" s="685"/>
      <c r="UAU45" s="685"/>
      <c r="UAV45" s="685"/>
      <c r="UAW45" s="685"/>
      <c r="UAX45" s="685"/>
      <c r="UAY45" s="685"/>
      <c r="UAZ45" s="685"/>
      <c r="UBA45" s="685"/>
      <c r="UBB45" s="685"/>
      <c r="UBC45" s="685"/>
      <c r="UBD45" s="685"/>
      <c r="UBE45" s="685"/>
      <c r="UBF45" s="685"/>
      <c r="UBG45" s="685"/>
      <c r="UBH45" s="685"/>
      <c r="UBI45" s="685"/>
      <c r="UBJ45" s="685"/>
      <c r="UBK45" s="685"/>
      <c r="UBL45" s="685"/>
      <c r="UBM45" s="685"/>
      <c r="UBN45" s="685"/>
      <c r="UBO45" s="685"/>
      <c r="UBP45" s="685"/>
      <c r="UBQ45" s="685"/>
      <c r="UBR45" s="685"/>
      <c r="UBS45" s="685"/>
      <c r="UBT45" s="685"/>
      <c r="UBU45" s="685"/>
      <c r="UBV45" s="685"/>
      <c r="UBW45" s="685"/>
      <c r="UBX45" s="685"/>
      <c r="UBY45" s="685"/>
      <c r="UBZ45" s="685"/>
      <c r="UCA45" s="685"/>
      <c r="UCB45" s="685"/>
      <c r="UCC45" s="685"/>
      <c r="UCD45" s="685"/>
      <c r="UCE45" s="685"/>
      <c r="UCF45" s="685"/>
      <c r="UCG45" s="685"/>
      <c r="UCH45" s="685"/>
      <c r="UCI45" s="685"/>
      <c r="UCJ45" s="685"/>
      <c r="UCK45" s="685"/>
      <c r="UCL45" s="685"/>
      <c r="UCM45" s="685"/>
      <c r="UCN45" s="685"/>
      <c r="UCO45" s="685"/>
      <c r="UCP45" s="685"/>
      <c r="UCQ45" s="685"/>
      <c r="UCR45" s="685"/>
      <c r="UCS45" s="685"/>
      <c r="UCT45" s="685"/>
      <c r="UCU45" s="685"/>
      <c r="UCV45" s="685"/>
      <c r="UCW45" s="685"/>
      <c r="UCX45" s="685"/>
      <c r="UCY45" s="685"/>
      <c r="UCZ45" s="685"/>
      <c r="UDA45" s="685"/>
      <c r="UDB45" s="685"/>
      <c r="UDC45" s="685"/>
      <c r="UDD45" s="685"/>
      <c r="UDE45" s="685"/>
      <c r="UDF45" s="685"/>
      <c r="UDG45" s="685"/>
      <c r="UDH45" s="685"/>
      <c r="UDI45" s="685"/>
      <c r="UDJ45" s="685"/>
      <c r="UDK45" s="685"/>
      <c r="UDL45" s="685"/>
      <c r="UDM45" s="685"/>
      <c r="UDN45" s="685"/>
      <c r="UDO45" s="685"/>
      <c r="UDP45" s="685"/>
      <c r="UDQ45" s="685"/>
      <c r="UDR45" s="685"/>
      <c r="UDS45" s="685"/>
      <c r="UDT45" s="685"/>
      <c r="UDU45" s="685"/>
      <c r="UDV45" s="685"/>
      <c r="UDW45" s="685"/>
      <c r="UDX45" s="685"/>
      <c r="UDY45" s="685"/>
      <c r="UDZ45" s="685"/>
      <c r="UEA45" s="685"/>
      <c r="UEB45" s="685"/>
      <c r="UEC45" s="685"/>
      <c r="UED45" s="685"/>
      <c r="UEE45" s="685"/>
      <c r="UEF45" s="685"/>
      <c r="UEG45" s="685"/>
      <c r="UEH45" s="685"/>
      <c r="UEI45" s="685"/>
      <c r="UEJ45" s="685"/>
      <c r="UEK45" s="685"/>
      <c r="UEL45" s="685"/>
      <c r="UEM45" s="685"/>
      <c r="UEN45" s="685"/>
      <c r="UEO45" s="685"/>
      <c r="UEP45" s="685"/>
      <c r="UEQ45" s="685"/>
      <c r="UER45" s="685"/>
      <c r="UES45" s="685"/>
      <c r="UET45" s="685"/>
      <c r="UEU45" s="685"/>
      <c r="UEV45" s="685"/>
      <c r="UEW45" s="685"/>
      <c r="UEX45" s="685"/>
      <c r="UEY45" s="685"/>
      <c r="UEZ45" s="685"/>
      <c r="UFA45" s="685"/>
      <c r="UFB45" s="685"/>
      <c r="UFC45" s="685"/>
      <c r="UFD45" s="685"/>
      <c r="UFE45" s="685"/>
      <c r="UFF45" s="685"/>
      <c r="UFG45" s="685"/>
      <c r="UFH45" s="685"/>
      <c r="UFI45" s="685"/>
      <c r="UFJ45" s="685"/>
      <c r="UFK45" s="685"/>
      <c r="UFL45" s="685"/>
      <c r="UFM45" s="685"/>
      <c r="UFN45" s="685"/>
      <c r="UFO45" s="685"/>
      <c r="UFP45" s="685"/>
      <c r="UFQ45" s="685"/>
      <c r="UFR45" s="685"/>
      <c r="UFS45" s="685"/>
      <c r="UFT45" s="685"/>
      <c r="UFU45" s="685"/>
      <c r="UFV45" s="685"/>
      <c r="UFW45" s="685"/>
      <c r="UFX45" s="685"/>
      <c r="UFY45" s="685"/>
      <c r="UFZ45" s="685"/>
      <c r="UGA45" s="685"/>
      <c r="UGB45" s="685"/>
      <c r="UGC45" s="685"/>
      <c r="UGD45" s="685"/>
      <c r="UGE45" s="685"/>
      <c r="UGF45" s="685"/>
      <c r="UGG45" s="685"/>
      <c r="UGH45" s="685"/>
      <c r="UGI45" s="685"/>
      <c r="UGJ45" s="685"/>
      <c r="UGK45" s="685"/>
      <c r="UGL45" s="685"/>
      <c r="UGM45" s="685"/>
      <c r="UGN45" s="685"/>
      <c r="UGO45" s="685"/>
      <c r="UGP45" s="685"/>
      <c r="UGQ45" s="685"/>
      <c r="UGR45" s="685"/>
      <c r="UGS45" s="685"/>
      <c r="UGT45" s="685"/>
      <c r="UGU45" s="685"/>
      <c r="UGV45" s="685"/>
      <c r="UGW45" s="685"/>
      <c r="UGX45" s="685"/>
      <c r="UGY45" s="685"/>
      <c r="UGZ45" s="685"/>
      <c r="UHA45" s="685"/>
      <c r="UHB45" s="685"/>
      <c r="UHC45" s="685"/>
      <c r="UHD45" s="685"/>
      <c r="UHE45" s="685"/>
      <c r="UHF45" s="685"/>
      <c r="UHG45" s="685"/>
      <c r="UHH45" s="685"/>
      <c r="UHI45" s="685"/>
      <c r="UHJ45" s="685"/>
      <c r="UHK45" s="685"/>
      <c r="UHL45" s="685"/>
      <c r="UHM45" s="685"/>
      <c r="UHN45" s="685"/>
      <c r="UHO45" s="685"/>
      <c r="UHP45" s="685"/>
      <c r="UHQ45" s="685"/>
      <c r="UHR45" s="685"/>
      <c r="UHS45" s="685"/>
      <c r="UHT45" s="685"/>
      <c r="UHU45" s="685"/>
      <c r="UHV45" s="685"/>
      <c r="UHW45" s="685"/>
      <c r="UHX45" s="685"/>
      <c r="UHY45" s="685"/>
      <c r="UHZ45" s="685"/>
      <c r="UIA45" s="685"/>
      <c r="UIB45" s="685"/>
      <c r="UIC45" s="685"/>
      <c r="UID45" s="685"/>
      <c r="UIE45" s="685"/>
      <c r="UIF45" s="685"/>
      <c r="UIG45" s="685"/>
      <c r="UIH45" s="685"/>
      <c r="UII45" s="685"/>
      <c r="UIJ45" s="685"/>
      <c r="UIK45" s="685"/>
      <c r="UIL45" s="685"/>
      <c r="UIM45" s="685"/>
      <c r="UIN45" s="685"/>
      <c r="UIO45" s="685"/>
      <c r="UIP45" s="685"/>
      <c r="UIQ45" s="685"/>
      <c r="UIR45" s="685"/>
      <c r="UIS45" s="685"/>
      <c r="UIT45" s="685"/>
      <c r="UIU45" s="685"/>
      <c r="UIV45" s="685"/>
      <c r="UIW45" s="685"/>
      <c r="UIX45" s="685"/>
      <c r="UIY45" s="685"/>
      <c r="UIZ45" s="685"/>
      <c r="UJA45" s="685"/>
      <c r="UJB45" s="685"/>
      <c r="UJC45" s="685"/>
      <c r="UJD45" s="685"/>
      <c r="UJE45" s="685"/>
      <c r="UJF45" s="685"/>
      <c r="UJG45" s="685"/>
      <c r="UJH45" s="685"/>
      <c r="UJI45" s="685"/>
      <c r="UJJ45" s="685"/>
      <c r="UJK45" s="685"/>
      <c r="UJL45" s="685"/>
      <c r="UJM45" s="685"/>
      <c r="UJN45" s="685"/>
      <c r="UJO45" s="685"/>
      <c r="UJP45" s="685"/>
      <c r="UJQ45" s="685"/>
      <c r="UJR45" s="685"/>
      <c r="UJS45" s="685"/>
      <c r="UJT45" s="685"/>
      <c r="UJU45" s="685"/>
      <c r="UJV45" s="685"/>
      <c r="UJW45" s="685"/>
      <c r="UJX45" s="685"/>
      <c r="UJY45" s="685"/>
      <c r="UJZ45" s="685"/>
      <c r="UKA45" s="685"/>
      <c r="UKB45" s="685"/>
      <c r="UKC45" s="685"/>
      <c r="UKD45" s="685"/>
      <c r="UKE45" s="685"/>
      <c r="UKF45" s="685"/>
      <c r="UKG45" s="685"/>
      <c r="UKH45" s="685"/>
      <c r="UKI45" s="685"/>
      <c r="UKJ45" s="685"/>
      <c r="UKK45" s="685"/>
      <c r="UKL45" s="685"/>
      <c r="UKM45" s="685"/>
      <c r="UKN45" s="685"/>
      <c r="UKO45" s="685"/>
      <c r="UKP45" s="685"/>
      <c r="UKQ45" s="685"/>
      <c r="UKR45" s="685"/>
      <c r="UKS45" s="685"/>
      <c r="UKT45" s="685"/>
      <c r="UKU45" s="685"/>
      <c r="UKV45" s="685"/>
      <c r="UKW45" s="685"/>
      <c r="UKX45" s="685"/>
      <c r="UKY45" s="685"/>
      <c r="UKZ45" s="685"/>
      <c r="ULA45" s="685"/>
      <c r="ULB45" s="685"/>
      <c r="ULC45" s="685"/>
      <c r="ULD45" s="685"/>
      <c r="ULE45" s="685"/>
      <c r="ULF45" s="685"/>
      <c r="ULG45" s="685"/>
      <c r="ULH45" s="685"/>
      <c r="ULI45" s="685"/>
      <c r="ULJ45" s="685"/>
      <c r="ULK45" s="685"/>
      <c r="ULL45" s="685"/>
      <c r="ULM45" s="685"/>
      <c r="ULN45" s="685"/>
      <c r="ULO45" s="685"/>
      <c r="ULP45" s="685"/>
      <c r="ULQ45" s="685"/>
      <c r="ULR45" s="685"/>
      <c r="ULS45" s="685"/>
      <c r="ULT45" s="685"/>
      <c r="ULU45" s="685"/>
      <c r="ULV45" s="685"/>
      <c r="ULW45" s="685"/>
      <c r="ULX45" s="685"/>
      <c r="ULY45" s="685"/>
      <c r="ULZ45" s="685"/>
      <c r="UMA45" s="685"/>
      <c r="UMB45" s="685"/>
      <c r="UMC45" s="685"/>
      <c r="UMD45" s="685"/>
      <c r="UME45" s="685"/>
      <c r="UMF45" s="685"/>
      <c r="UMG45" s="685"/>
      <c r="UMH45" s="685"/>
      <c r="UMI45" s="685"/>
      <c r="UMJ45" s="685"/>
      <c r="UMK45" s="685"/>
      <c r="UML45" s="685"/>
      <c r="UMM45" s="685"/>
      <c r="UMN45" s="685"/>
      <c r="UMO45" s="685"/>
      <c r="UMP45" s="685"/>
      <c r="UMQ45" s="685"/>
      <c r="UMR45" s="685"/>
      <c r="UMS45" s="685"/>
      <c r="UMT45" s="685"/>
      <c r="UMU45" s="685"/>
      <c r="UMV45" s="685"/>
      <c r="UMW45" s="685"/>
      <c r="UMX45" s="685"/>
      <c r="UMY45" s="685"/>
      <c r="UMZ45" s="685"/>
      <c r="UNA45" s="685"/>
      <c r="UNB45" s="685"/>
      <c r="UNC45" s="685"/>
      <c r="UND45" s="685"/>
      <c r="UNE45" s="685"/>
      <c r="UNF45" s="685"/>
      <c r="UNG45" s="685"/>
      <c r="UNH45" s="685"/>
      <c r="UNI45" s="685"/>
      <c r="UNJ45" s="685"/>
      <c r="UNK45" s="685"/>
      <c r="UNL45" s="685"/>
      <c r="UNM45" s="685"/>
      <c r="UNN45" s="685"/>
      <c r="UNO45" s="685"/>
      <c r="UNP45" s="685"/>
      <c r="UNQ45" s="685"/>
      <c r="UNR45" s="685"/>
      <c r="UNS45" s="685"/>
      <c r="UNT45" s="685"/>
      <c r="UNU45" s="685"/>
      <c r="UNV45" s="685"/>
      <c r="UNW45" s="685"/>
      <c r="UNX45" s="685"/>
      <c r="UNY45" s="685"/>
      <c r="UNZ45" s="685"/>
      <c r="UOA45" s="685"/>
      <c r="UOB45" s="685"/>
      <c r="UOC45" s="685"/>
      <c r="UOD45" s="685"/>
      <c r="UOE45" s="685"/>
      <c r="UOF45" s="685"/>
      <c r="UOG45" s="685"/>
      <c r="UOH45" s="685"/>
      <c r="UOI45" s="685"/>
      <c r="UOJ45" s="685"/>
      <c r="UOK45" s="685"/>
      <c r="UOL45" s="685"/>
      <c r="UOM45" s="685"/>
      <c r="UON45" s="685"/>
      <c r="UOO45" s="685"/>
      <c r="UOP45" s="685"/>
      <c r="UOQ45" s="685"/>
      <c r="UOR45" s="685"/>
      <c r="UOS45" s="685"/>
      <c r="UOT45" s="685"/>
      <c r="UOU45" s="685"/>
      <c r="UOV45" s="685"/>
      <c r="UOW45" s="685"/>
      <c r="UOX45" s="685"/>
      <c r="UOY45" s="685"/>
      <c r="UOZ45" s="685"/>
      <c r="UPA45" s="685"/>
      <c r="UPB45" s="685"/>
      <c r="UPC45" s="685"/>
      <c r="UPD45" s="685"/>
      <c r="UPE45" s="685"/>
      <c r="UPF45" s="685"/>
      <c r="UPG45" s="685"/>
      <c r="UPH45" s="685"/>
      <c r="UPI45" s="685"/>
      <c r="UPJ45" s="685"/>
      <c r="UPK45" s="685"/>
      <c r="UPL45" s="685"/>
      <c r="UPM45" s="685"/>
      <c r="UPN45" s="685"/>
      <c r="UPO45" s="685"/>
      <c r="UPP45" s="685"/>
      <c r="UPQ45" s="685"/>
      <c r="UPR45" s="685"/>
      <c r="UPS45" s="685"/>
      <c r="UPT45" s="685"/>
      <c r="UPU45" s="685"/>
      <c r="UPV45" s="685"/>
      <c r="UPW45" s="685"/>
      <c r="UPX45" s="685"/>
      <c r="UPY45" s="685"/>
      <c r="UPZ45" s="685"/>
      <c r="UQA45" s="685"/>
      <c r="UQB45" s="685"/>
      <c r="UQC45" s="685"/>
      <c r="UQD45" s="685"/>
      <c r="UQE45" s="685"/>
      <c r="UQF45" s="685"/>
      <c r="UQG45" s="685"/>
      <c r="UQH45" s="685"/>
      <c r="UQI45" s="685"/>
      <c r="UQJ45" s="685"/>
      <c r="UQK45" s="685"/>
      <c r="UQL45" s="685"/>
      <c r="UQM45" s="685"/>
      <c r="UQN45" s="685"/>
      <c r="UQO45" s="685"/>
      <c r="UQP45" s="685"/>
      <c r="UQQ45" s="685"/>
      <c r="UQR45" s="685"/>
      <c r="UQS45" s="685"/>
      <c r="UQT45" s="685"/>
      <c r="UQU45" s="685"/>
      <c r="UQV45" s="685"/>
      <c r="UQW45" s="685"/>
      <c r="UQX45" s="685"/>
      <c r="UQY45" s="685"/>
      <c r="UQZ45" s="685"/>
      <c r="URA45" s="685"/>
      <c r="URB45" s="685"/>
      <c r="URC45" s="685"/>
      <c r="URD45" s="685"/>
      <c r="URE45" s="685"/>
      <c r="URF45" s="685"/>
      <c r="URG45" s="685"/>
      <c r="URH45" s="685"/>
      <c r="URI45" s="685"/>
      <c r="URJ45" s="685"/>
      <c r="URK45" s="685"/>
      <c r="URL45" s="685"/>
      <c r="URM45" s="685"/>
      <c r="URN45" s="685"/>
      <c r="URO45" s="685"/>
      <c r="URP45" s="685"/>
      <c r="URQ45" s="685"/>
      <c r="URR45" s="685"/>
      <c r="URS45" s="685"/>
      <c r="URT45" s="685"/>
      <c r="URU45" s="685"/>
      <c r="URV45" s="685"/>
      <c r="URW45" s="685"/>
      <c r="URX45" s="685"/>
      <c r="URY45" s="685"/>
      <c r="URZ45" s="685"/>
      <c r="USA45" s="685"/>
      <c r="USB45" s="685"/>
      <c r="USC45" s="685"/>
      <c r="USD45" s="685"/>
      <c r="USE45" s="685"/>
      <c r="USF45" s="685"/>
      <c r="USG45" s="685"/>
      <c r="USH45" s="685"/>
      <c r="USI45" s="685"/>
      <c r="USJ45" s="685"/>
      <c r="USK45" s="685"/>
      <c r="USL45" s="685"/>
      <c r="USM45" s="685"/>
      <c r="USN45" s="685"/>
      <c r="USO45" s="685"/>
      <c r="USP45" s="685"/>
      <c r="USQ45" s="685"/>
      <c r="USR45" s="685"/>
      <c r="USS45" s="685"/>
      <c r="UST45" s="685"/>
      <c r="USU45" s="685"/>
      <c r="USV45" s="685"/>
      <c r="USW45" s="685"/>
      <c r="USX45" s="685"/>
      <c r="USY45" s="685"/>
      <c r="USZ45" s="685"/>
      <c r="UTA45" s="685"/>
      <c r="UTB45" s="685"/>
      <c r="UTC45" s="685"/>
      <c r="UTD45" s="685"/>
      <c r="UTE45" s="685"/>
      <c r="UTF45" s="685"/>
      <c r="UTG45" s="685"/>
      <c r="UTH45" s="685"/>
      <c r="UTI45" s="685"/>
      <c r="UTJ45" s="685"/>
      <c r="UTK45" s="685"/>
      <c r="UTL45" s="685"/>
      <c r="UTM45" s="685"/>
      <c r="UTN45" s="685"/>
      <c r="UTO45" s="685"/>
      <c r="UTP45" s="685"/>
      <c r="UTQ45" s="685"/>
      <c r="UTR45" s="685"/>
      <c r="UTS45" s="685"/>
      <c r="UTT45" s="685"/>
      <c r="UTU45" s="685"/>
      <c r="UTV45" s="685"/>
      <c r="UTW45" s="685"/>
      <c r="UTX45" s="685"/>
      <c r="UTY45" s="685"/>
      <c r="UTZ45" s="685"/>
      <c r="UUA45" s="685"/>
      <c r="UUB45" s="685"/>
      <c r="UUC45" s="685"/>
      <c r="UUD45" s="685"/>
      <c r="UUE45" s="685"/>
      <c r="UUF45" s="685"/>
      <c r="UUG45" s="685"/>
      <c r="UUH45" s="685"/>
      <c r="UUI45" s="685"/>
      <c r="UUJ45" s="685"/>
      <c r="UUK45" s="685"/>
      <c r="UUL45" s="685"/>
      <c r="UUM45" s="685"/>
      <c r="UUN45" s="685"/>
      <c r="UUO45" s="685"/>
      <c r="UUP45" s="685"/>
      <c r="UUQ45" s="685"/>
      <c r="UUR45" s="685"/>
      <c r="UUS45" s="685"/>
      <c r="UUT45" s="685"/>
      <c r="UUU45" s="685"/>
      <c r="UUV45" s="685"/>
      <c r="UUW45" s="685"/>
      <c r="UUX45" s="685"/>
      <c r="UUY45" s="685"/>
      <c r="UUZ45" s="685"/>
      <c r="UVA45" s="685"/>
      <c r="UVB45" s="685"/>
      <c r="UVC45" s="685"/>
      <c r="UVD45" s="685"/>
      <c r="UVE45" s="685"/>
      <c r="UVF45" s="685"/>
      <c r="UVG45" s="685"/>
      <c r="UVH45" s="685"/>
      <c r="UVI45" s="685"/>
      <c r="UVJ45" s="685"/>
      <c r="UVK45" s="685"/>
      <c r="UVL45" s="685"/>
      <c r="UVM45" s="685"/>
      <c r="UVN45" s="685"/>
      <c r="UVO45" s="685"/>
      <c r="UVP45" s="685"/>
      <c r="UVQ45" s="685"/>
      <c r="UVR45" s="685"/>
      <c r="UVS45" s="685"/>
      <c r="UVT45" s="685"/>
      <c r="UVU45" s="685"/>
      <c r="UVV45" s="685"/>
      <c r="UVW45" s="685"/>
      <c r="UVX45" s="685"/>
      <c r="UVY45" s="685"/>
      <c r="UVZ45" s="685"/>
      <c r="UWA45" s="685"/>
      <c r="UWB45" s="685"/>
      <c r="UWC45" s="685"/>
      <c r="UWD45" s="685"/>
      <c r="UWE45" s="685"/>
      <c r="UWF45" s="685"/>
      <c r="UWG45" s="685"/>
      <c r="UWH45" s="685"/>
      <c r="UWI45" s="685"/>
      <c r="UWJ45" s="685"/>
      <c r="UWK45" s="685"/>
      <c r="UWL45" s="685"/>
      <c r="UWM45" s="685"/>
      <c r="UWN45" s="685"/>
      <c r="UWO45" s="685"/>
      <c r="UWP45" s="685"/>
      <c r="UWQ45" s="685"/>
      <c r="UWR45" s="685"/>
      <c r="UWS45" s="685"/>
      <c r="UWT45" s="685"/>
      <c r="UWU45" s="685"/>
      <c r="UWV45" s="685"/>
      <c r="UWW45" s="685"/>
      <c r="UWX45" s="685"/>
      <c r="UWY45" s="685"/>
      <c r="UWZ45" s="685"/>
      <c r="UXA45" s="685"/>
      <c r="UXB45" s="685"/>
      <c r="UXC45" s="685"/>
      <c r="UXD45" s="685"/>
      <c r="UXE45" s="685"/>
      <c r="UXF45" s="685"/>
      <c r="UXG45" s="685"/>
      <c r="UXH45" s="685"/>
      <c r="UXI45" s="685"/>
      <c r="UXJ45" s="685"/>
      <c r="UXK45" s="685"/>
      <c r="UXL45" s="685"/>
      <c r="UXM45" s="685"/>
      <c r="UXN45" s="685"/>
      <c r="UXO45" s="685"/>
      <c r="UXP45" s="685"/>
      <c r="UXQ45" s="685"/>
      <c r="UXR45" s="685"/>
      <c r="UXS45" s="685"/>
      <c r="UXT45" s="685"/>
      <c r="UXU45" s="685"/>
      <c r="UXV45" s="685"/>
      <c r="UXW45" s="685"/>
      <c r="UXX45" s="685"/>
      <c r="UXY45" s="685"/>
      <c r="UXZ45" s="685"/>
      <c r="UYA45" s="685"/>
      <c r="UYB45" s="685"/>
      <c r="UYC45" s="685"/>
      <c r="UYD45" s="685"/>
      <c r="UYE45" s="685"/>
      <c r="UYF45" s="685"/>
      <c r="UYG45" s="685"/>
      <c r="UYH45" s="685"/>
      <c r="UYI45" s="685"/>
      <c r="UYJ45" s="685"/>
      <c r="UYK45" s="685"/>
      <c r="UYL45" s="685"/>
      <c r="UYM45" s="685"/>
      <c r="UYN45" s="685"/>
      <c r="UYO45" s="685"/>
      <c r="UYP45" s="685"/>
      <c r="UYQ45" s="685"/>
      <c r="UYR45" s="685"/>
      <c r="UYS45" s="685"/>
      <c r="UYT45" s="685"/>
      <c r="UYU45" s="685"/>
      <c r="UYV45" s="685"/>
      <c r="UYW45" s="685"/>
      <c r="UYX45" s="685"/>
      <c r="UYY45" s="685"/>
      <c r="UYZ45" s="685"/>
      <c r="UZA45" s="685"/>
      <c r="UZB45" s="685"/>
      <c r="UZC45" s="685"/>
      <c r="UZD45" s="685"/>
      <c r="UZE45" s="685"/>
      <c r="UZF45" s="685"/>
      <c r="UZG45" s="685"/>
      <c r="UZH45" s="685"/>
      <c r="UZI45" s="685"/>
      <c r="UZJ45" s="685"/>
      <c r="UZK45" s="685"/>
      <c r="UZL45" s="685"/>
      <c r="UZM45" s="685"/>
      <c r="UZN45" s="685"/>
      <c r="UZO45" s="685"/>
      <c r="UZP45" s="685"/>
      <c r="UZQ45" s="685"/>
      <c r="UZR45" s="685"/>
      <c r="UZS45" s="685"/>
      <c r="UZT45" s="685"/>
      <c r="UZU45" s="685"/>
      <c r="UZV45" s="685"/>
      <c r="UZW45" s="685"/>
      <c r="UZX45" s="685"/>
      <c r="UZY45" s="685"/>
      <c r="UZZ45" s="685"/>
      <c r="VAA45" s="685"/>
      <c r="VAB45" s="685"/>
      <c r="VAC45" s="685"/>
      <c r="VAD45" s="685"/>
      <c r="VAE45" s="685"/>
      <c r="VAF45" s="685"/>
      <c r="VAG45" s="685"/>
      <c r="VAH45" s="685"/>
      <c r="VAI45" s="685"/>
      <c r="VAJ45" s="685"/>
      <c r="VAK45" s="685"/>
      <c r="VAL45" s="685"/>
      <c r="VAM45" s="685"/>
      <c r="VAN45" s="685"/>
      <c r="VAO45" s="685"/>
      <c r="VAP45" s="685"/>
      <c r="VAQ45" s="685"/>
      <c r="VAR45" s="685"/>
      <c r="VAS45" s="685"/>
      <c r="VAT45" s="685"/>
      <c r="VAU45" s="685"/>
      <c r="VAV45" s="685"/>
      <c r="VAW45" s="685"/>
      <c r="VAX45" s="685"/>
      <c r="VAY45" s="685"/>
      <c r="VAZ45" s="685"/>
      <c r="VBA45" s="685"/>
      <c r="VBB45" s="685"/>
      <c r="VBC45" s="685"/>
      <c r="VBD45" s="685"/>
      <c r="VBE45" s="685"/>
      <c r="VBF45" s="685"/>
      <c r="VBG45" s="685"/>
      <c r="VBH45" s="685"/>
      <c r="VBI45" s="685"/>
      <c r="VBJ45" s="685"/>
      <c r="VBK45" s="685"/>
      <c r="VBL45" s="685"/>
      <c r="VBM45" s="685"/>
      <c r="VBN45" s="685"/>
      <c r="VBO45" s="685"/>
      <c r="VBP45" s="685"/>
      <c r="VBQ45" s="685"/>
      <c r="VBR45" s="685"/>
      <c r="VBS45" s="685"/>
      <c r="VBT45" s="685"/>
      <c r="VBU45" s="685"/>
      <c r="VBV45" s="685"/>
      <c r="VBW45" s="685"/>
      <c r="VBX45" s="685"/>
      <c r="VBY45" s="685"/>
      <c r="VBZ45" s="685"/>
      <c r="VCA45" s="685"/>
      <c r="VCB45" s="685"/>
      <c r="VCC45" s="685"/>
      <c r="VCD45" s="685"/>
      <c r="VCE45" s="685"/>
      <c r="VCF45" s="685"/>
      <c r="VCG45" s="685"/>
      <c r="VCH45" s="685"/>
      <c r="VCI45" s="685"/>
      <c r="VCJ45" s="685"/>
      <c r="VCK45" s="685"/>
      <c r="VCL45" s="685"/>
      <c r="VCM45" s="685"/>
      <c r="VCN45" s="685"/>
      <c r="VCO45" s="685"/>
      <c r="VCP45" s="685"/>
      <c r="VCQ45" s="685"/>
      <c r="VCR45" s="685"/>
      <c r="VCS45" s="685"/>
      <c r="VCT45" s="685"/>
      <c r="VCU45" s="685"/>
      <c r="VCV45" s="685"/>
      <c r="VCW45" s="685"/>
      <c r="VCX45" s="685"/>
      <c r="VCY45" s="685"/>
      <c r="VCZ45" s="685"/>
      <c r="VDA45" s="685"/>
      <c r="VDB45" s="685"/>
      <c r="VDC45" s="685"/>
      <c r="VDD45" s="685"/>
      <c r="VDE45" s="685"/>
      <c r="VDF45" s="685"/>
      <c r="VDG45" s="685"/>
      <c r="VDH45" s="685"/>
      <c r="VDI45" s="685"/>
      <c r="VDJ45" s="685"/>
      <c r="VDK45" s="685"/>
      <c r="VDL45" s="685"/>
      <c r="VDM45" s="685"/>
      <c r="VDN45" s="685"/>
      <c r="VDO45" s="685"/>
      <c r="VDP45" s="685"/>
      <c r="VDQ45" s="685"/>
      <c r="VDR45" s="685"/>
      <c r="VDS45" s="685"/>
      <c r="VDT45" s="685"/>
      <c r="VDU45" s="685"/>
      <c r="VDV45" s="685"/>
      <c r="VDW45" s="685"/>
      <c r="VDX45" s="685"/>
      <c r="VDY45" s="685"/>
      <c r="VDZ45" s="685"/>
      <c r="VEA45" s="685"/>
      <c r="VEB45" s="685"/>
      <c r="VEC45" s="685"/>
      <c r="VED45" s="685"/>
      <c r="VEE45" s="685"/>
      <c r="VEF45" s="685"/>
      <c r="VEG45" s="685"/>
      <c r="VEH45" s="685"/>
      <c r="VEI45" s="685"/>
      <c r="VEJ45" s="685"/>
      <c r="VEK45" s="685"/>
      <c r="VEL45" s="685"/>
      <c r="VEM45" s="685"/>
      <c r="VEN45" s="685"/>
      <c r="VEO45" s="685"/>
      <c r="VEP45" s="685"/>
      <c r="VEQ45" s="685"/>
      <c r="VER45" s="685"/>
      <c r="VES45" s="685"/>
      <c r="VET45" s="685"/>
      <c r="VEU45" s="685"/>
      <c r="VEV45" s="685"/>
      <c r="VEW45" s="685"/>
      <c r="VEX45" s="685"/>
      <c r="VEY45" s="685"/>
      <c r="VEZ45" s="685"/>
      <c r="VFA45" s="685"/>
      <c r="VFB45" s="685"/>
      <c r="VFC45" s="685"/>
      <c r="VFD45" s="685"/>
      <c r="VFE45" s="685"/>
      <c r="VFF45" s="685"/>
      <c r="VFG45" s="685"/>
      <c r="VFH45" s="685"/>
      <c r="VFI45" s="685"/>
      <c r="VFJ45" s="685"/>
      <c r="VFK45" s="685"/>
      <c r="VFL45" s="685"/>
      <c r="VFM45" s="685"/>
      <c r="VFN45" s="685"/>
      <c r="VFO45" s="685"/>
      <c r="VFP45" s="685"/>
      <c r="VFQ45" s="685"/>
      <c r="VFR45" s="685"/>
      <c r="VFS45" s="685"/>
      <c r="VFT45" s="685"/>
      <c r="VFU45" s="685"/>
      <c r="VFV45" s="685"/>
      <c r="VFW45" s="685"/>
      <c r="VFX45" s="685"/>
      <c r="VFY45" s="685"/>
      <c r="VFZ45" s="685"/>
      <c r="VGA45" s="685"/>
      <c r="VGB45" s="685"/>
      <c r="VGC45" s="685"/>
      <c r="VGD45" s="685"/>
      <c r="VGE45" s="685"/>
      <c r="VGF45" s="685"/>
      <c r="VGG45" s="685"/>
      <c r="VGH45" s="685"/>
      <c r="VGI45" s="685"/>
      <c r="VGJ45" s="685"/>
      <c r="VGK45" s="685"/>
      <c r="VGL45" s="685"/>
      <c r="VGM45" s="685"/>
      <c r="VGN45" s="685"/>
      <c r="VGO45" s="685"/>
      <c r="VGP45" s="685"/>
      <c r="VGQ45" s="685"/>
      <c r="VGR45" s="685"/>
      <c r="VGS45" s="685"/>
      <c r="VGT45" s="685"/>
      <c r="VGU45" s="685"/>
      <c r="VGV45" s="685"/>
      <c r="VGW45" s="685"/>
      <c r="VGX45" s="685"/>
      <c r="VGY45" s="685"/>
      <c r="VGZ45" s="685"/>
      <c r="VHA45" s="685"/>
      <c r="VHB45" s="685"/>
      <c r="VHC45" s="685"/>
      <c r="VHD45" s="685"/>
      <c r="VHE45" s="685"/>
      <c r="VHF45" s="685"/>
      <c r="VHG45" s="685"/>
      <c r="VHH45" s="685"/>
      <c r="VHI45" s="685"/>
      <c r="VHJ45" s="685"/>
      <c r="VHK45" s="685"/>
      <c r="VHL45" s="685"/>
      <c r="VHM45" s="685"/>
      <c r="VHN45" s="685"/>
      <c r="VHO45" s="685"/>
      <c r="VHP45" s="685"/>
      <c r="VHQ45" s="685"/>
      <c r="VHR45" s="685"/>
      <c r="VHS45" s="685"/>
      <c r="VHT45" s="685"/>
      <c r="VHU45" s="685"/>
      <c r="VHV45" s="685"/>
      <c r="VHW45" s="685"/>
      <c r="VHX45" s="685"/>
      <c r="VHY45" s="685"/>
      <c r="VHZ45" s="685"/>
      <c r="VIA45" s="685"/>
      <c r="VIB45" s="685"/>
      <c r="VIC45" s="685"/>
      <c r="VID45" s="685"/>
      <c r="VIE45" s="685"/>
      <c r="VIF45" s="685"/>
      <c r="VIG45" s="685"/>
      <c r="VIH45" s="685"/>
      <c r="VII45" s="685"/>
      <c r="VIJ45" s="685"/>
      <c r="VIK45" s="685"/>
      <c r="VIL45" s="685"/>
      <c r="VIM45" s="685"/>
      <c r="VIN45" s="685"/>
      <c r="VIO45" s="685"/>
      <c r="VIP45" s="685"/>
      <c r="VIQ45" s="685"/>
      <c r="VIR45" s="685"/>
      <c r="VIS45" s="685"/>
      <c r="VIT45" s="685"/>
      <c r="VIU45" s="685"/>
      <c r="VIV45" s="685"/>
      <c r="VIW45" s="685"/>
      <c r="VIX45" s="685"/>
      <c r="VIY45" s="685"/>
      <c r="VIZ45" s="685"/>
      <c r="VJA45" s="685"/>
      <c r="VJB45" s="685"/>
      <c r="VJC45" s="685"/>
      <c r="VJD45" s="685"/>
      <c r="VJE45" s="685"/>
      <c r="VJF45" s="685"/>
      <c r="VJG45" s="685"/>
      <c r="VJH45" s="685"/>
      <c r="VJI45" s="685"/>
      <c r="VJJ45" s="685"/>
      <c r="VJK45" s="685"/>
      <c r="VJL45" s="685"/>
      <c r="VJM45" s="685"/>
      <c r="VJN45" s="685"/>
      <c r="VJO45" s="685"/>
      <c r="VJP45" s="685"/>
      <c r="VJQ45" s="685"/>
      <c r="VJR45" s="685"/>
      <c r="VJS45" s="685"/>
      <c r="VJT45" s="685"/>
      <c r="VJU45" s="685"/>
      <c r="VJV45" s="685"/>
      <c r="VJW45" s="685"/>
      <c r="VJX45" s="685"/>
      <c r="VJY45" s="685"/>
      <c r="VJZ45" s="685"/>
      <c r="VKA45" s="685"/>
      <c r="VKB45" s="685"/>
      <c r="VKC45" s="685"/>
      <c r="VKD45" s="685"/>
      <c r="VKE45" s="685"/>
      <c r="VKF45" s="685"/>
      <c r="VKG45" s="685"/>
      <c r="VKH45" s="685"/>
      <c r="VKI45" s="685"/>
      <c r="VKJ45" s="685"/>
      <c r="VKK45" s="685"/>
      <c r="VKL45" s="685"/>
      <c r="VKM45" s="685"/>
      <c r="VKN45" s="685"/>
      <c r="VKO45" s="685"/>
      <c r="VKP45" s="685"/>
      <c r="VKQ45" s="685"/>
      <c r="VKR45" s="685"/>
      <c r="VKS45" s="685"/>
      <c r="VKT45" s="685"/>
      <c r="VKU45" s="685"/>
      <c r="VKV45" s="685"/>
      <c r="VKW45" s="685"/>
      <c r="VKX45" s="685"/>
      <c r="VKY45" s="685"/>
      <c r="VKZ45" s="685"/>
      <c r="VLA45" s="685"/>
      <c r="VLB45" s="685"/>
      <c r="VLC45" s="685"/>
      <c r="VLD45" s="685"/>
      <c r="VLE45" s="685"/>
      <c r="VLF45" s="685"/>
      <c r="VLG45" s="685"/>
      <c r="VLH45" s="685"/>
      <c r="VLI45" s="685"/>
      <c r="VLJ45" s="685"/>
      <c r="VLK45" s="685"/>
      <c r="VLL45" s="685"/>
      <c r="VLM45" s="685"/>
      <c r="VLN45" s="685"/>
      <c r="VLO45" s="685"/>
      <c r="VLP45" s="685"/>
      <c r="VLQ45" s="685"/>
      <c r="VLR45" s="685"/>
      <c r="VLS45" s="685"/>
      <c r="VLT45" s="685"/>
      <c r="VLU45" s="685"/>
      <c r="VLV45" s="685"/>
      <c r="VLW45" s="685"/>
      <c r="VLX45" s="685"/>
      <c r="VLY45" s="685"/>
      <c r="VLZ45" s="685"/>
      <c r="VMA45" s="685"/>
      <c r="VMB45" s="685"/>
      <c r="VMC45" s="685"/>
      <c r="VMD45" s="685"/>
      <c r="VME45" s="685"/>
      <c r="VMF45" s="685"/>
      <c r="VMG45" s="685"/>
      <c r="VMH45" s="685"/>
      <c r="VMI45" s="685"/>
      <c r="VMJ45" s="685"/>
      <c r="VMK45" s="685"/>
      <c r="VML45" s="685"/>
      <c r="VMM45" s="685"/>
      <c r="VMN45" s="685"/>
      <c r="VMO45" s="685"/>
      <c r="VMP45" s="685"/>
      <c r="VMQ45" s="685"/>
      <c r="VMR45" s="685"/>
      <c r="VMS45" s="685"/>
      <c r="VMT45" s="685"/>
      <c r="VMU45" s="685"/>
      <c r="VMV45" s="685"/>
      <c r="VMW45" s="685"/>
      <c r="VMX45" s="685"/>
      <c r="VMY45" s="685"/>
      <c r="VMZ45" s="685"/>
      <c r="VNA45" s="685"/>
      <c r="VNB45" s="685"/>
      <c r="VNC45" s="685"/>
      <c r="VND45" s="685"/>
      <c r="VNE45" s="685"/>
      <c r="VNF45" s="685"/>
      <c r="VNG45" s="685"/>
      <c r="VNH45" s="685"/>
      <c r="VNI45" s="685"/>
      <c r="VNJ45" s="685"/>
      <c r="VNK45" s="685"/>
      <c r="VNL45" s="685"/>
      <c r="VNM45" s="685"/>
      <c r="VNN45" s="685"/>
      <c r="VNO45" s="685"/>
      <c r="VNP45" s="685"/>
      <c r="VNQ45" s="685"/>
      <c r="VNR45" s="685"/>
      <c r="VNS45" s="685"/>
      <c r="VNT45" s="685"/>
      <c r="VNU45" s="685"/>
      <c r="VNV45" s="685"/>
      <c r="VNW45" s="685"/>
      <c r="VNX45" s="685"/>
      <c r="VNY45" s="685"/>
      <c r="VNZ45" s="685"/>
      <c r="VOA45" s="685"/>
      <c r="VOB45" s="685"/>
      <c r="VOC45" s="685"/>
      <c r="VOD45" s="685"/>
      <c r="VOE45" s="685"/>
      <c r="VOF45" s="685"/>
      <c r="VOG45" s="685"/>
      <c r="VOH45" s="685"/>
      <c r="VOI45" s="685"/>
      <c r="VOJ45" s="685"/>
      <c r="VOK45" s="685"/>
      <c r="VOL45" s="685"/>
      <c r="VOM45" s="685"/>
      <c r="VON45" s="685"/>
      <c r="VOO45" s="685"/>
      <c r="VOP45" s="685"/>
      <c r="VOQ45" s="685"/>
      <c r="VOR45" s="685"/>
      <c r="VOS45" s="685"/>
      <c r="VOT45" s="685"/>
      <c r="VOU45" s="685"/>
      <c r="VOV45" s="685"/>
      <c r="VOW45" s="685"/>
      <c r="VOX45" s="685"/>
      <c r="VOY45" s="685"/>
      <c r="VOZ45" s="685"/>
      <c r="VPA45" s="685"/>
      <c r="VPB45" s="685"/>
      <c r="VPC45" s="685"/>
      <c r="VPD45" s="685"/>
      <c r="VPE45" s="685"/>
      <c r="VPF45" s="685"/>
      <c r="VPG45" s="685"/>
      <c r="VPH45" s="685"/>
      <c r="VPI45" s="685"/>
      <c r="VPJ45" s="685"/>
      <c r="VPK45" s="685"/>
      <c r="VPL45" s="685"/>
      <c r="VPM45" s="685"/>
      <c r="VPN45" s="685"/>
      <c r="VPO45" s="685"/>
      <c r="VPP45" s="685"/>
      <c r="VPQ45" s="685"/>
      <c r="VPR45" s="685"/>
      <c r="VPS45" s="685"/>
      <c r="VPT45" s="685"/>
      <c r="VPU45" s="685"/>
      <c r="VPV45" s="685"/>
      <c r="VPW45" s="685"/>
      <c r="VPX45" s="685"/>
      <c r="VPY45" s="685"/>
      <c r="VPZ45" s="685"/>
      <c r="VQA45" s="685"/>
      <c r="VQB45" s="685"/>
      <c r="VQC45" s="685"/>
      <c r="VQD45" s="685"/>
      <c r="VQE45" s="685"/>
      <c r="VQF45" s="685"/>
      <c r="VQG45" s="685"/>
      <c r="VQH45" s="685"/>
      <c r="VQI45" s="685"/>
      <c r="VQJ45" s="685"/>
      <c r="VQK45" s="685"/>
      <c r="VQL45" s="685"/>
      <c r="VQM45" s="685"/>
      <c r="VQN45" s="685"/>
      <c r="VQO45" s="685"/>
      <c r="VQP45" s="685"/>
      <c r="VQQ45" s="685"/>
      <c r="VQR45" s="685"/>
      <c r="VQS45" s="685"/>
      <c r="VQT45" s="685"/>
      <c r="VQU45" s="685"/>
      <c r="VQV45" s="685"/>
      <c r="VQW45" s="685"/>
      <c r="VQX45" s="685"/>
      <c r="VQY45" s="685"/>
      <c r="VQZ45" s="685"/>
      <c r="VRA45" s="685"/>
      <c r="VRB45" s="685"/>
      <c r="VRC45" s="685"/>
      <c r="VRD45" s="685"/>
      <c r="VRE45" s="685"/>
      <c r="VRF45" s="685"/>
      <c r="VRG45" s="685"/>
      <c r="VRH45" s="685"/>
      <c r="VRI45" s="685"/>
      <c r="VRJ45" s="685"/>
      <c r="VRK45" s="685"/>
      <c r="VRL45" s="685"/>
      <c r="VRM45" s="685"/>
      <c r="VRN45" s="685"/>
      <c r="VRO45" s="685"/>
      <c r="VRP45" s="685"/>
      <c r="VRQ45" s="685"/>
      <c r="VRR45" s="685"/>
      <c r="VRS45" s="685"/>
      <c r="VRT45" s="685"/>
      <c r="VRU45" s="685"/>
      <c r="VRV45" s="685"/>
      <c r="VRW45" s="685"/>
      <c r="VRX45" s="685"/>
      <c r="VRY45" s="685"/>
      <c r="VRZ45" s="685"/>
      <c r="VSA45" s="685"/>
      <c r="VSB45" s="685"/>
      <c r="VSC45" s="685"/>
      <c r="VSD45" s="685"/>
      <c r="VSE45" s="685"/>
      <c r="VSF45" s="685"/>
      <c r="VSG45" s="685"/>
      <c r="VSH45" s="685"/>
      <c r="VSI45" s="685"/>
      <c r="VSJ45" s="685"/>
      <c r="VSK45" s="685"/>
      <c r="VSL45" s="685"/>
      <c r="VSM45" s="685"/>
      <c r="VSN45" s="685"/>
      <c r="VSO45" s="685"/>
      <c r="VSP45" s="685"/>
      <c r="VSQ45" s="685"/>
      <c r="VSR45" s="685"/>
      <c r="VSS45" s="685"/>
      <c r="VST45" s="685"/>
      <c r="VSU45" s="685"/>
      <c r="VSV45" s="685"/>
      <c r="VSW45" s="685"/>
      <c r="VSX45" s="685"/>
      <c r="VSY45" s="685"/>
      <c r="VSZ45" s="685"/>
      <c r="VTA45" s="685"/>
      <c r="VTB45" s="685"/>
      <c r="VTC45" s="685"/>
      <c r="VTD45" s="685"/>
      <c r="VTE45" s="685"/>
      <c r="VTF45" s="685"/>
      <c r="VTG45" s="685"/>
      <c r="VTH45" s="685"/>
      <c r="VTI45" s="685"/>
      <c r="VTJ45" s="685"/>
      <c r="VTK45" s="685"/>
      <c r="VTL45" s="685"/>
      <c r="VTM45" s="685"/>
      <c r="VTN45" s="685"/>
      <c r="VTO45" s="685"/>
      <c r="VTP45" s="685"/>
      <c r="VTQ45" s="685"/>
      <c r="VTR45" s="685"/>
      <c r="VTS45" s="685"/>
      <c r="VTT45" s="685"/>
      <c r="VTU45" s="685"/>
      <c r="VTV45" s="685"/>
      <c r="VTW45" s="685"/>
      <c r="VTX45" s="685"/>
      <c r="VTY45" s="685"/>
      <c r="VTZ45" s="685"/>
      <c r="VUA45" s="685"/>
      <c r="VUB45" s="685"/>
      <c r="VUC45" s="685"/>
      <c r="VUD45" s="685"/>
      <c r="VUE45" s="685"/>
      <c r="VUF45" s="685"/>
      <c r="VUG45" s="685"/>
      <c r="VUH45" s="685"/>
      <c r="VUI45" s="685"/>
      <c r="VUJ45" s="685"/>
      <c r="VUK45" s="685"/>
      <c r="VUL45" s="685"/>
      <c r="VUM45" s="685"/>
      <c r="VUN45" s="685"/>
      <c r="VUO45" s="685"/>
      <c r="VUP45" s="685"/>
      <c r="VUQ45" s="685"/>
      <c r="VUR45" s="685"/>
      <c r="VUS45" s="685"/>
      <c r="VUT45" s="685"/>
      <c r="VUU45" s="685"/>
      <c r="VUV45" s="685"/>
      <c r="VUW45" s="685"/>
      <c r="VUX45" s="685"/>
      <c r="VUY45" s="685"/>
      <c r="VUZ45" s="685"/>
      <c r="VVA45" s="685"/>
      <c r="VVB45" s="685"/>
      <c r="VVC45" s="685"/>
      <c r="VVD45" s="685"/>
      <c r="VVE45" s="685"/>
      <c r="VVF45" s="685"/>
      <c r="VVG45" s="685"/>
      <c r="VVH45" s="685"/>
      <c r="VVI45" s="685"/>
      <c r="VVJ45" s="685"/>
      <c r="VVK45" s="685"/>
      <c r="VVL45" s="685"/>
      <c r="VVM45" s="685"/>
      <c r="VVN45" s="685"/>
      <c r="VVO45" s="685"/>
      <c r="VVP45" s="685"/>
      <c r="VVQ45" s="685"/>
      <c r="VVR45" s="685"/>
      <c r="VVS45" s="685"/>
      <c r="VVT45" s="685"/>
      <c r="VVU45" s="685"/>
      <c r="VVV45" s="685"/>
      <c r="VVW45" s="685"/>
      <c r="VVX45" s="685"/>
      <c r="VVY45" s="685"/>
      <c r="VVZ45" s="685"/>
      <c r="VWA45" s="685"/>
      <c r="VWB45" s="685"/>
      <c r="VWC45" s="685"/>
      <c r="VWD45" s="685"/>
      <c r="VWE45" s="685"/>
      <c r="VWF45" s="685"/>
      <c r="VWG45" s="685"/>
      <c r="VWH45" s="685"/>
      <c r="VWI45" s="685"/>
      <c r="VWJ45" s="685"/>
      <c r="VWK45" s="685"/>
      <c r="VWL45" s="685"/>
      <c r="VWM45" s="685"/>
      <c r="VWN45" s="685"/>
      <c r="VWO45" s="685"/>
      <c r="VWP45" s="685"/>
      <c r="VWQ45" s="685"/>
      <c r="VWR45" s="685"/>
      <c r="VWS45" s="685"/>
      <c r="VWT45" s="685"/>
      <c r="VWU45" s="685"/>
      <c r="VWV45" s="685"/>
      <c r="VWW45" s="685"/>
      <c r="VWX45" s="685"/>
      <c r="VWY45" s="685"/>
      <c r="VWZ45" s="685"/>
      <c r="VXA45" s="685"/>
      <c r="VXB45" s="685"/>
      <c r="VXC45" s="685"/>
      <c r="VXD45" s="685"/>
      <c r="VXE45" s="685"/>
      <c r="VXF45" s="685"/>
      <c r="VXG45" s="685"/>
      <c r="VXH45" s="685"/>
      <c r="VXI45" s="685"/>
      <c r="VXJ45" s="685"/>
      <c r="VXK45" s="685"/>
      <c r="VXL45" s="685"/>
      <c r="VXM45" s="685"/>
      <c r="VXN45" s="685"/>
      <c r="VXO45" s="685"/>
      <c r="VXP45" s="685"/>
      <c r="VXQ45" s="685"/>
      <c r="VXR45" s="685"/>
      <c r="VXS45" s="685"/>
      <c r="VXT45" s="685"/>
      <c r="VXU45" s="685"/>
      <c r="VXV45" s="685"/>
      <c r="VXW45" s="685"/>
      <c r="VXX45" s="685"/>
      <c r="VXY45" s="685"/>
      <c r="VXZ45" s="685"/>
      <c r="VYA45" s="685"/>
      <c r="VYB45" s="685"/>
      <c r="VYC45" s="685"/>
      <c r="VYD45" s="685"/>
      <c r="VYE45" s="685"/>
      <c r="VYF45" s="685"/>
      <c r="VYG45" s="685"/>
      <c r="VYH45" s="685"/>
      <c r="VYI45" s="685"/>
      <c r="VYJ45" s="685"/>
      <c r="VYK45" s="685"/>
      <c r="VYL45" s="685"/>
      <c r="VYM45" s="685"/>
      <c r="VYN45" s="685"/>
      <c r="VYO45" s="685"/>
      <c r="VYP45" s="685"/>
      <c r="VYQ45" s="685"/>
      <c r="VYR45" s="685"/>
      <c r="VYS45" s="685"/>
      <c r="VYT45" s="685"/>
      <c r="VYU45" s="685"/>
      <c r="VYV45" s="685"/>
      <c r="VYW45" s="685"/>
      <c r="VYX45" s="685"/>
      <c r="VYY45" s="685"/>
      <c r="VYZ45" s="685"/>
      <c r="VZA45" s="685"/>
      <c r="VZB45" s="685"/>
      <c r="VZC45" s="685"/>
      <c r="VZD45" s="685"/>
      <c r="VZE45" s="685"/>
      <c r="VZF45" s="685"/>
      <c r="VZG45" s="685"/>
      <c r="VZH45" s="685"/>
      <c r="VZI45" s="685"/>
      <c r="VZJ45" s="685"/>
      <c r="VZK45" s="685"/>
      <c r="VZL45" s="685"/>
      <c r="VZM45" s="685"/>
      <c r="VZN45" s="685"/>
      <c r="VZO45" s="685"/>
      <c r="VZP45" s="685"/>
      <c r="VZQ45" s="685"/>
      <c r="VZR45" s="685"/>
      <c r="VZS45" s="685"/>
      <c r="VZT45" s="685"/>
      <c r="VZU45" s="685"/>
      <c r="VZV45" s="685"/>
      <c r="VZW45" s="685"/>
      <c r="VZX45" s="685"/>
      <c r="VZY45" s="685"/>
      <c r="VZZ45" s="685"/>
      <c r="WAA45" s="685"/>
      <c r="WAB45" s="685"/>
      <c r="WAC45" s="685"/>
      <c r="WAD45" s="685"/>
      <c r="WAE45" s="685"/>
      <c r="WAF45" s="685"/>
      <c r="WAG45" s="685"/>
      <c r="WAH45" s="685"/>
      <c r="WAI45" s="685"/>
      <c r="WAJ45" s="685"/>
      <c r="WAK45" s="685"/>
      <c r="WAL45" s="685"/>
      <c r="WAM45" s="685"/>
      <c r="WAN45" s="685"/>
      <c r="WAO45" s="685"/>
      <c r="WAP45" s="685"/>
      <c r="WAQ45" s="685"/>
      <c r="WAR45" s="685"/>
      <c r="WAS45" s="685"/>
      <c r="WAT45" s="685"/>
      <c r="WAU45" s="685"/>
      <c r="WAV45" s="685"/>
      <c r="WAW45" s="685"/>
      <c r="WAX45" s="685"/>
      <c r="WAY45" s="685"/>
      <c r="WAZ45" s="685"/>
      <c r="WBA45" s="685"/>
      <c r="WBB45" s="685"/>
      <c r="WBC45" s="685"/>
      <c r="WBD45" s="685"/>
      <c r="WBE45" s="685"/>
      <c r="WBF45" s="685"/>
      <c r="WBG45" s="685"/>
      <c r="WBH45" s="685"/>
      <c r="WBI45" s="685"/>
      <c r="WBJ45" s="685"/>
      <c r="WBK45" s="685"/>
      <c r="WBL45" s="685"/>
      <c r="WBM45" s="685"/>
      <c r="WBN45" s="685"/>
      <c r="WBO45" s="685"/>
      <c r="WBP45" s="685"/>
      <c r="WBQ45" s="685"/>
      <c r="WBR45" s="685"/>
      <c r="WBS45" s="685"/>
      <c r="WBT45" s="685"/>
      <c r="WBU45" s="685"/>
      <c r="WBV45" s="685"/>
      <c r="WBW45" s="685"/>
      <c r="WBX45" s="685"/>
      <c r="WBY45" s="685"/>
      <c r="WBZ45" s="685"/>
      <c r="WCA45" s="685"/>
      <c r="WCB45" s="685"/>
      <c r="WCC45" s="685"/>
      <c r="WCD45" s="685"/>
      <c r="WCE45" s="685"/>
      <c r="WCF45" s="685"/>
      <c r="WCG45" s="685"/>
      <c r="WCH45" s="685"/>
      <c r="WCI45" s="685"/>
      <c r="WCJ45" s="685"/>
      <c r="WCK45" s="685"/>
      <c r="WCL45" s="685"/>
      <c r="WCM45" s="685"/>
      <c r="WCN45" s="685"/>
      <c r="WCO45" s="685"/>
      <c r="WCP45" s="685"/>
      <c r="WCQ45" s="685"/>
      <c r="WCR45" s="685"/>
      <c r="WCS45" s="685"/>
      <c r="WCT45" s="685"/>
      <c r="WCU45" s="685"/>
      <c r="WCV45" s="685"/>
      <c r="WCW45" s="685"/>
      <c r="WCX45" s="685"/>
      <c r="WCY45" s="685"/>
      <c r="WCZ45" s="685"/>
      <c r="WDA45" s="685"/>
      <c r="WDB45" s="685"/>
      <c r="WDC45" s="685"/>
      <c r="WDD45" s="685"/>
      <c r="WDE45" s="685"/>
      <c r="WDF45" s="685"/>
      <c r="WDG45" s="685"/>
      <c r="WDH45" s="685"/>
      <c r="WDI45" s="685"/>
      <c r="WDJ45" s="685"/>
      <c r="WDK45" s="685"/>
      <c r="WDL45" s="685"/>
      <c r="WDM45" s="685"/>
      <c r="WDN45" s="685"/>
      <c r="WDO45" s="685"/>
      <c r="WDP45" s="685"/>
      <c r="WDQ45" s="685"/>
      <c r="WDR45" s="685"/>
      <c r="WDS45" s="685"/>
      <c r="WDT45" s="685"/>
      <c r="WDU45" s="685"/>
      <c r="WDV45" s="685"/>
      <c r="WDW45" s="685"/>
      <c r="WDX45" s="685"/>
      <c r="WDY45" s="685"/>
      <c r="WDZ45" s="685"/>
      <c r="WEA45" s="685"/>
      <c r="WEB45" s="685"/>
      <c r="WEC45" s="685"/>
      <c r="WED45" s="685"/>
      <c r="WEE45" s="685"/>
      <c r="WEF45" s="685"/>
      <c r="WEG45" s="685"/>
      <c r="WEH45" s="685"/>
      <c r="WEI45" s="685"/>
      <c r="WEJ45" s="685"/>
      <c r="WEK45" s="685"/>
      <c r="WEL45" s="685"/>
      <c r="WEM45" s="685"/>
      <c r="WEN45" s="685"/>
      <c r="WEO45" s="685"/>
      <c r="WEP45" s="685"/>
      <c r="WEQ45" s="685"/>
      <c r="WER45" s="685"/>
      <c r="WES45" s="685"/>
      <c r="WET45" s="685"/>
      <c r="WEU45" s="685"/>
      <c r="WEV45" s="685"/>
      <c r="WEW45" s="685"/>
      <c r="WEX45" s="685"/>
      <c r="WEY45" s="685"/>
      <c r="WEZ45" s="685"/>
      <c r="WFA45" s="685"/>
      <c r="WFB45" s="685"/>
      <c r="WFC45" s="685"/>
      <c r="WFD45" s="685"/>
      <c r="WFE45" s="685"/>
      <c r="WFF45" s="685"/>
      <c r="WFG45" s="685"/>
      <c r="WFH45" s="685"/>
      <c r="WFI45" s="685"/>
      <c r="WFJ45" s="685"/>
      <c r="WFK45" s="685"/>
      <c r="WFL45" s="685"/>
      <c r="WFM45" s="685"/>
      <c r="WFN45" s="685"/>
      <c r="WFO45" s="685"/>
      <c r="WFP45" s="685"/>
      <c r="WFQ45" s="685"/>
      <c r="WFR45" s="685"/>
      <c r="WFS45" s="685"/>
      <c r="WFT45" s="685"/>
      <c r="WFU45" s="685"/>
      <c r="WFV45" s="685"/>
      <c r="WFW45" s="685"/>
      <c r="WFX45" s="685"/>
      <c r="WFY45" s="685"/>
      <c r="WFZ45" s="685"/>
      <c r="WGA45" s="685"/>
      <c r="WGB45" s="685"/>
      <c r="WGC45" s="685"/>
      <c r="WGD45" s="685"/>
      <c r="WGE45" s="685"/>
      <c r="WGF45" s="685"/>
      <c r="WGG45" s="685"/>
      <c r="WGH45" s="685"/>
      <c r="WGI45" s="685"/>
      <c r="WGJ45" s="685"/>
      <c r="WGK45" s="685"/>
      <c r="WGL45" s="685"/>
      <c r="WGM45" s="685"/>
      <c r="WGN45" s="685"/>
      <c r="WGO45" s="685"/>
      <c r="WGP45" s="685"/>
      <c r="WGQ45" s="685"/>
      <c r="WGR45" s="685"/>
      <c r="WGS45" s="685"/>
      <c r="WGT45" s="685"/>
      <c r="WGU45" s="685"/>
      <c r="WGV45" s="685"/>
      <c r="WGW45" s="685"/>
      <c r="WGX45" s="685"/>
      <c r="WGY45" s="685"/>
      <c r="WGZ45" s="685"/>
      <c r="WHA45" s="685"/>
      <c r="WHB45" s="685"/>
      <c r="WHC45" s="685"/>
      <c r="WHD45" s="685"/>
      <c r="WHE45" s="685"/>
      <c r="WHF45" s="685"/>
      <c r="WHG45" s="685"/>
      <c r="WHH45" s="685"/>
      <c r="WHI45" s="685"/>
      <c r="WHJ45" s="685"/>
      <c r="WHK45" s="685"/>
      <c r="WHL45" s="685"/>
      <c r="WHM45" s="685"/>
      <c r="WHN45" s="685"/>
      <c r="WHO45" s="685"/>
      <c r="WHP45" s="685"/>
      <c r="WHQ45" s="685"/>
      <c r="WHR45" s="685"/>
      <c r="WHS45" s="685"/>
      <c r="WHT45" s="685"/>
      <c r="WHU45" s="685"/>
      <c r="WHV45" s="685"/>
      <c r="WHW45" s="685"/>
      <c r="WHX45" s="685"/>
      <c r="WHY45" s="685"/>
      <c r="WHZ45" s="685"/>
      <c r="WIA45" s="685"/>
      <c r="WIB45" s="685"/>
      <c r="WIC45" s="685"/>
      <c r="WID45" s="685"/>
      <c r="WIE45" s="685"/>
      <c r="WIF45" s="685"/>
      <c r="WIG45" s="685"/>
      <c r="WIH45" s="685"/>
      <c r="WII45" s="685"/>
      <c r="WIJ45" s="685"/>
      <c r="WIK45" s="685"/>
      <c r="WIL45" s="685"/>
      <c r="WIM45" s="685"/>
      <c r="WIN45" s="685"/>
      <c r="WIO45" s="685"/>
      <c r="WIP45" s="685"/>
      <c r="WIQ45" s="685"/>
      <c r="WIR45" s="685"/>
      <c r="WIS45" s="685"/>
      <c r="WIT45" s="685"/>
      <c r="WIU45" s="685"/>
      <c r="WIV45" s="685"/>
      <c r="WIW45" s="685"/>
      <c r="WIX45" s="685"/>
      <c r="WIY45" s="685"/>
      <c r="WIZ45" s="685"/>
      <c r="WJA45" s="685"/>
      <c r="WJB45" s="685"/>
      <c r="WJC45" s="685"/>
      <c r="WJD45" s="685"/>
      <c r="WJE45" s="685"/>
      <c r="WJF45" s="685"/>
      <c r="WJG45" s="685"/>
      <c r="WJH45" s="685"/>
      <c r="WJI45" s="685"/>
      <c r="WJJ45" s="685"/>
      <c r="WJK45" s="685"/>
      <c r="WJL45" s="685"/>
      <c r="WJM45" s="685"/>
      <c r="WJN45" s="685"/>
      <c r="WJO45" s="685"/>
      <c r="WJP45" s="685"/>
      <c r="WJQ45" s="685"/>
      <c r="WJR45" s="685"/>
      <c r="WJS45" s="685"/>
      <c r="WJT45" s="685"/>
      <c r="WJU45" s="685"/>
      <c r="WJV45" s="685"/>
      <c r="WJW45" s="685"/>
      <c r="WJX45" s="685"/>
      <c r="WJY45" s="685"/>
      <c r="WJZ45" s="685"/>
      <c r="WKA45" s="685"/>
      <c r="WKB45" s="685"/>
      <c r="WKC45" s="685"/>
      <c r="WKD45" s="685"/>
      <c r="WKE45" s="685"/>
      <c r="WKF45" s="685"/>
      <c r="WKG45" s="685"/>
      <c r="WKH45" s="685"/>
      <c r="WKI45" s="685"/>
      <c r="WKJ45" s="685"/>
      <c r="WKK45" s="685"/>
      <c r="WKL45" s="685"/>
      <c r="WKM45" s="685"/>
      <c r="WKN45" s="685"/>
      <c r="WKO45" s="685"/>
      <c r="WKP45" s="685"/>
      <c r="WKQ45" s="685"/>
      <c r="WKR45" s="685"/>
      <c r="WKS45" s="685"/>
      <c r="WKT45" s="685"/>
      <c r="WKU45" s="685"/>
      <c r="WKV45" s="685"/>
      <c r="WKW45" s="685"/>
      <c r="WKX45" s="685"/>
      <c r="WKY45" s="685"/>
      <c r="WKZ45" s="685"/>
      <c r="WLA45" s="685"/>
      <c r="WLB45" s="685"/>
      <c r="WLC45" s="685"/>
      <c r="WLD45" s="685"/>
      <c r="WLE45" s="685"/>
      <c r="WLF45" s="685"/>
      <c r="WLG45" s="685"/>
      <c r="WLH45" s="685"/>
      <c r="WLI45" s="685"/>
      <c r="WLJ45" s="685"/>
      <c r="WLK45" s="685"/>
      <c r="WLL45" s="685"/>
      <c r="WLM45" s="685"/>
      <c r="WLN45" s="685"/>
      <c r="WLO45" s="685"/>
      <c r="WLP45" s="685"/>
      <c r="WLQ45" s="685"/>
      <c r="WLR45" s="685"/>
      <c r="WLS45" s="685"/>
      <c r="WLT45" s="685"/>
      <c r="WLU45" s="685"/>
      <c r="WLV45" s="685"/>
      <c r="WLW45" s="685"/>
      <c r="WLX45" s="685"/>
      <c r="WLY45" s="685"/>
      <c r="WLZ45" s="685"/>
      <c r="WMA45" s="685"/>
      <c r="WMB45" s="685"/>
      <c r="WMC45" s="685"/>
      <c r="WMD45" s="685"/>
      <c r="WME45" s="685"/>
      <c r="WMF45" s="685"/>
      <c r="WMG45" s="685"/>
      <c r="WMH45" s="685"/>
      <c r="WMI45" s="685"/>
      <c r="WMJ45" s="685"/>
      <c r="WMK45" s="685"/>
      <c r="WML45" s="685"/>
      <c r="WMM45" s="685"/>
      <c r="WMN45" s="685"/>
      <c r="WMO45" s="685"/>
      <c r="WMP45" s="685"/>
      <c r="WMQ45" s="685"/>
      <c r="WMR45" s="685"/>
      <c r="WMS45" s="685"/>
      <c r="WMT45" s="685"/>
      <c r="WMU45" s="685"/>
      <c r="WMV45" s="685"/>
      <c r="WMW45" s="685"/>
      <c r="WMX45" s="685"/>
      <c r="WMY45" s="685"/>
      <c r="WMZ45" s="685"/>
      <c r="WNA45" s="685"/>
      <c r="WNB45" s="685"/>
      <c r="WNC45" s="685"/>
      <c r="WND45" s="685"/>
      <c r="WNE45" s="685"/>
      <c r="WNF45" s="685"/>
      <c r="WNG45" s="685"/>
      <c r="WNH45" s="685"/>
      <c r="WNI45" s="685"/>
      <c r="WNJ45" s="685"/>
      <c r="WNK45" s="685"/>
      <c r="WNL45" s="685"/>
      <c r="WNM45" s="685"/>
      <c r="WNN45" s="685"/>
      <c r="WNO45" s="685"/>
      <c r="WNP45" s="685"/>
      <c r="WNQ45" s="685"/>
      <c r="WNR45" s="685"/>
      <c r="WNS45" s="685"/>
      <c r="WNT45" s="685"/>
      <c r="WNU45" s="685"/>
      <c r="WNV45" s="685"/>
      <c r="WNW45" s="685"/>
      <c r="WNX45" s="685"/>
      <c r="WNY45" s="685"/>
      <c r="WNZ45" s="685"/>
      <c r="WOA45" s="685"/>
      <c r="WOB45" s="685"/>
      <c r="WOC45" s="685"/>
      <c r="WOD45" s="685"/>
      <c r="WOE45" s="685"/>
      <c r="WOF45" s="685"/>
      <c r="WOG45" s="685"/>
      <c r="WOH45" s="685"/>
      <c r="WOI45" s="685"/>
      <c r="WOJ45" s="685"/>
      <c r="WOK45" s="685"/>
      <c r="WOL45" s="685"/>
      <c r="WOM45" s="685"/>
      <c r="WON45" s="685"/>
      <c r="WOO45" s="685"/>
      <c r="WOP45" s="685"/>
      <c r="WOQ45" s="685"/>
      <c r="WOR45" s="685"/>
      <c r="WOS45" s="685"/>
      <c r="WOT45" s="685"/>
      <c r="WOU45" s="685"/>
      <c r="WOV45" s="685"/>
      <c r="WOW45" s="685"/>
      <c r="WOX45" s="685"/>
      <c r="WOY45" s="685"/>
      <c r="WOZ45" s="685"/>
      <c r="WPA45" s="685"/>
      <c r="WPB45" s="685"/>
      <c r="WPC45" s="685"/>
      <c r="WPD45" s="685"/>
      <c r="WPE45" s="685"/>
      <c r="WPF45" s="685"/>
      <c r="WPG45" s="685"/>
      <c r="WPH45" s="685"/>
      <c r="WPI45" s="685"/>
      <c r="WPJ45" s="685"/>
      <c r="WPK45" s="685"/>
      <c r="WPL45" s="685"/>
      <c r="WPM45" s="685"/>
      <c r="WPN45" s="685"/>
      <c r="WPO45" s="685"/>
      <c r="WPP45" s="685"/>
      <c r="WPQ45" s="685"/>
      <c r="WPR45" s="685"/>
      <c r="WPS45" s="685"/>
      <c r="WPT45" s="685"/>
      <c r="WPU45" s="685"/>
      <c r="WPV45" s="685"/>
      <c r="WPW45" s="685"/>
      <c r="WPX45" s="685"/>
      <c r="WPY45" s="685"/>
      <c r="WPZ45" s="685"/>
      <c r="WQA45" s="685"/>
      <c r="WQB45" s="685"/>
      <c r="WQC45" s="685"/>
      <c r="WQD45" s="685"/>
      <c r="WQE45" s="685"/>
      <c r="WQF45" s="685"/>
      <c r="WQG45" s="685"/>
      <c r="WQH45" s="685"/>
      <c r="WQI45" s="685"/>
      <c r="WQJ45" s="685"/>
      <c r="WQK45" s="685"/>
      <c r="WQL45" s="685"/>
      <c r="WQM45" s="685"/>
      <c r="WQN45" s="685"/>
      <c r="WQO45" s="685"/>
      <c r="WQP45" s="685"/>
      <c r="WQQ45" s="685"/>
      <c r="WQR45" s="685"/>
      <c r="WQS45" s="685"/>
      <c r="WQT45" s="685"/>
      <c r="WQU45" s="685"/>
      <c r="WQV45" s="685"/>
      <c r="WQW45" s="685"/>
      <c r="WQX45" s="685"/>
      <c r="WQY45" s="685"/>
      <c r="WQZ45" s="685"/>
      <c r="WRA45" s="685"/>
      <c r="WRB45" s="685"/>
      <c r="WRC45" s="685"/>
      <c r="WRD45" s="685"/>
      <c r="WRE45" s="685"/>
      <c r="WRF45" s="685"/>
      <c r="WRG45" s="685"/>
      <c r="WRH45" s="685"/>
      <c r="WRI45" s="685"/>
      <c r="WRJ45" s="685"/>
      <c r="WRK45" s="685"/>
      <c r="WRL45" s="685"/>
      <c r="WRM45" s="685"/>
      <c r="WRN45" s="685"/>
      <c r="WRO45" s="685"/>
      <c r="WRP45" s="685"/>
      <c r="WRQ45" s="685"/>
      <c r="WRR45" s="685"/>
      <c r="WRS45" s="685"/>
      <c r="WRT45" s="685"/>
      <c r="WRU45" s="685"/>
      <c r="WRV45" s="685"/>
      <c r="WRW45" s="685"/>
      <c r="WRX45" s="685"/>
      <c r="WRY45" s="685"/>
      <c r="WRZ45" s="685"/>
      <c r="WSA45" s="685"/>
      <c r="WSB45" s="685"/>
      <c r="WSC45" s="685"/>
      <c r="WSD45" s="685"/>
      <c r="WSE45" s="685"/>
      <c r="WSF45" s="685"/>
      <c r="WSG45" s="685"/>
      <c r="WSH45" s="685"/>
      <c r="WSI45" s="685"/>
      <c r="WSJ45" s="685"/>
      <c r="WSK45" s="685"/>
      <c r="WSL45" s="685"/>
      <c r="WSM45" s="685"/>
      <c r="WSN45" s="685"/>
      <c r="WSO45" s="685"/>
      <c r="WSP45" s="685"/>
      <c r="WSQ45" s="685"/>
      <c r="WSR45" s="685"/>
      <c r="WSS45" s="685"/>
      <c r="WST45" s="685"/>
      <c r="WSU45" s="685"/>
      <c r="WSV45" s="685"/>
      <c r="WSW45" s="685"/>
      <c r="WSX45" s="685"/>
      <c r="WSY45" s="685"/>
      <c r="WSZ45" s="685"/>
      <c r="WTA45" s="685"/>
      <c r="WTB45" s="685"/>
      <c r="WTC45" s="685"/>
      <c r="WTD45" s="685"/>
      <c r="WTE45" s="685"/>
      <c r="WTF45" s="685"/>
      <c r="WTG45" s="685"/>
      <c r="WTH45" s="685"/>
      <c r="WTI45" s="685"/>
      <c r="WTJ45" s="685"/>
      <c r="WTK45" s="685"/>
      <c r="WTL45" s="685"/>
      <c r="WTM45" s="685"/>
      <c r="WTN45" s="685"/>
      <c r="WTO45" s="685"/>
      <c r="WTP45" s="685"/>
      <c r="WTQ45" s="685"/>
      <c r="WTR45" s="685"/>
      <c r="WTS45" s="685"/>
      <c r="WTT45" s="685"/>
      <c r="WTU45" s="685"/>
      <c r="WTV45" s="685"/>
      <c r="WTW45" s="685"/>
      <c r="WTX45" s="685"/>
      <c r="WTY45" s="685"/>
      <c r="WTZ45" s="685"/>
      <c r="WUA45" s="685"/>
      <c r="WUB45" s="685"/>
      <c r="WUC45" s="685"/>
      <c r="WUD45" s="685"/>
      <c r="WUE45" s="685"/>
      <c r="WUF45" s="685"/>
      <c r="WUG45" s="685"/>
      <c r="WUH45" s="685"/>
      <c r="WUI45" s="685"/>
      <c r="WUJ45" s="685"/>
      <c r="WUK45" s="685"/>
      <c r="WUL45" s="685"/>
      <c r="WUM45" s="685"/>
      <c r="WUN45" s="685"/>
      <c r="WUO45" s="685"/>
      <c r="WUP45" s="685"/>
      <c r="WUQ45" s="685"/>
      <c r="WUR45" s="685"/>
      <c r="WUS45" s="685"/>
      <c r="WUT45" s="685"/>
      <c r="WUU45" s="685"/>
      <c r="WUV45" s="685"/>
      <c r="WUW45" s="685"/>
      <c r="WUX45" s="685"/>
      <c r="WUY45" s="685"/>
      <c r="WUZ45" s="685"/>
      <c r="WVA45" s="685"/>
      <c r="WVB45" s="685"/>
      <c r="WVC45" s="685"/>
      <c r="WVD45" s="685"/>
      <c r="WVE45" s="685"/>
      <c r="WVF45" s="685"/>
      <c r="WVG45" s="685"/>
      <c r="WVH45" s="685"/>
      <c r="WVI45" s="685"/>
      <c r="WVJ45" s="685"/>
      <c r="WVK45" s="685"/>
      <c r="WVL45" s="685"/>
      <c r="WVM45" s="685"/>
      <c r="WVN45" s="685"/>
      <c r="WVO45" s="685"/>
      <c r="WVP45" s="685"/>
      <c r="WVQ45" s="685"/>
      <c r="WVR45" s="685"/>
      <c r="WVS45" s="685"/>
      <c r="WVT45" s="685"/>
      <c r="WVU45" s="685"/>
      <c r="WVV45" s="685"/>
      <c r="WVW45" s="685"/>
      <c r="WVX45" s="685"/>
      <c r="WVY45" s="685"/>
      <c r="WVZ45" s="685"/>
      <c r="WWA45" s="685"/>
      <c r="WWB45" s="685"/>
      <c r="WWC45" s="685"/>
      <c r="WWD45" s="685"/>
      <c r="WWE45" s="685"/>
      <c r="WWF45" s="685"/>
      <c r="WWG45" s="685"/>
      <c r="WWH45" s="685"/>
      <c r="WWI45" s="685"/>
      <c r="WWJ45" s="685"/>
      <c r="WWK45" s="685"/>
      <c r="WWL45" s="685"/>
      <c r="WWM45" s="685"/>
      <c r="WWN45" s="685"/>
      <c r="WWO45" s="685"/>
      <c r="WWP45" s="685"/>
      <c r="WWQ45" s="685"/>
      <c r="WWR45" s="685"/>
      <c r="WWS45" s="685"/>
      <c r="WWT45" s="685"/>
      <c r="WWU45" s="685"/>
      <c r="WWV45" s="685"/>
      <c r="WWW45" s="685"/>
      <c r="WWX45" s="685"/>
      <c r="WWY45" s="685"/>
      <c r="WWZ45" s="685"/>
      <c r="WXA45" s="685"/>
      <c r="WXB45" s="685"/>
      <c r="WXC45" s="685"/>
      <c r="WXD45" s="685"/>
      <c r="WXE45" s="685"/>
      <c r="WXF45" s="685"/>
      <c r="WXG45" s="685"/>
      <c r="WXH45" s="685"/>
      <c r="WXI45" s="685"/>
      <c r="WXJ45" s="685"/>
      <c r="WXK45" s="685"/>
      <c r="WXL45" s="685"/>
      <c r="WXM45" s="685"/>
      <c r="WXN45" s="685"/>
      <c r="WXO45" s="685"/>
      <c r="WXP45" s="685"/>
      <c r="WXQ45" s="685"/>
      <c r="WXR45" s="685"/>
      <c r="WXS45" s="685"/>
      <c r="WXT45" s="685"/>
      <c r="WXU45" s="685"/>
      <c r="WXV45" s="685"/>
      <c r="WXW45" s="685"/>
      <c r="WXX45" s="685"/>
      <c r="WXY45" s="685"/>
      <c r="WXZ45" s="685"/>
      <c r="WYA45" s="685"/>
      <c r="WYB45" s="685"/>
      <c r="WYC45" s="685"/>
      <c r="WYD45" s="685"/>
      <c r="WYE45" s="685"/>
      <c r="WYF45" s="685"/>
      <c r="WYG45" s="685"/>
      <c r="WYH45" s="685"/>
      <c r="WYI45" s="685"/>
      <c r="WYJ45" s="685"/>
      <c r="WYK45" s="685"/>
      <c r="WYL45" s="685"/>
      <c r="WYM45" s="685"/>
      <c r="WYN45" s="685"/>
      <c r="WYO45" s="685"/>
      <c r="WYP45" s="685"/>
      <c r="WYQ45" s="685"/>
      <c r="WYR45" s="685"/>
      <c r="WYS45" s="685"/>
      <c r="WYT45" s="685"/>
      <c r="WYU45" s="685"/>
      <c r="WYV45" s="685"/>
      <c r="WYW45" s="685"/>
      <c r="WYX45" s="685"/>
      <c r="WYY45" s="685"/>
      <c r="WYZ45" s="685"/>
      <c r="WZA45" s="685"/>
      <c r="WZB45" s="685"/>
      <c r="WZC45" s="685"/>
      <c r="WZD45" s="685"/>
      <c r="WZE45" s="685"/>
      <c r="WZF45" s="685"/>
      <c r="WZG45" s="685"/>
      <c r="WZH45" s="685"/>
      <c r="WZI45" s="685"/>
      <c r="WZJ45" s="685"/>
      <c r="WZK45" s="685"/>
      <c r="WZL45" s="685"/>
      <c r="WZM45" s="685"/>
      <c r="WZN45" s="685"/>
      <c r="WZO45" s="685"/>
      <c r="WZP45" s="685"/>
      <c r="WZQ45" s="685"/>
      <c r="WZR45" s="685"/>
      <c r="WZS45" s="685"/>
      <c r="WZT45" s="685"/>
      <c r="WZU45" s="685"/>
      <c r="WZV45" s="685"/>
      <c r="WZW45" s="685"/>
      <c r="WZX45" s="685"/>
      <c r="WZY45" s="685"/>
      <c r="WZZ45" s="685"/>
      <c r="XAA45" s="685"/>
      <c r="XAB45" s="685"/>
      <c r="XAC45" s="685"/>
      <c r="XAD45" s="685"/>
      <c r="XAE45" s="685"/>
      <c r="XAF45" s="685"/>
      <c r="XAG45" s="685"/>
      <c r="XAH45" s="685"/>
      <c r="XAI45" s="685"/>
      <c r="XAJ45" s="685"/>
      <c r="XAK45" s="685"/>
      <c r="XAL45" s="685"/>
      <c r="XAM45" s="685"/>
      <c r="XAN45" s="685"/>
      <c r="XAO45" s="685"/>
      <c r="XAP45" s="685"/>
      <c r="XAQ45" s="685"/>
      <c r="XAR45" s="685"/>
      <c r="XAS45" s="685"/>
      <c r="XAT45" s="685"/>
      <c r="XAU45" s="685"/>
      <c r="XAV45" s="685"/>
      <c r="XAW45" s="685"/>
      <c r="XAX45" s="685"/>
      <c r="XAY45" s="685"/>
      <c r="XAZ45" s="685"/>
      <c r="XBA45" s="685"/>
      <c r="XBB45" s="685"/>
      <c r="XBC45" s="685"/>
      <c r="XBD45" s="685"/>
      <c r="XBE45" s="685"/>
      <c r="XBF45" s="685"/>
      <c r="XBG45" s="685"/>
      <c r="XBH45" s="685"/>
      <c r="XBI45" s="685"/>
      <c r="XBJ45" s="685"/>
      <c r="XBK45" s="685"/>
      <c r="XBL45" s="685"/>
      <c r="XBM45" s="685"/>
      <c r="XBN45" s="685"/>
      <c r="XBO45" s="685"/>
      <c r="XBP45" s="685"/>
      <c r="XBQ45" s="685"/>
      <c r="XBR45" s="685"/>
      <c r="XBS45" s="685"/>
      <c r="XBT45" s="685"/>
      <c r="XBU45" s="685"/>
      <c r="XBV45" s="685"/>
      <c r="XBW45" s="685"/>
      <c r="XBX45" s="685"/>
      <c r="XBY45" s="685"/>
      <c r="XBZ45" s="685"/>
      <c r="XCA45" s="685"/>
      <c r="XCB45" s="685"/>
      <c r="XCC45" s="685"/>
      <c r="XCD45" s="685"/>
      <c r="XCE45" s="685"/>
      <c r="XCF45" s="685"/>
      <c r="XCG45" s="685"/>
      <c r="XCH45" s="685"/>
      <c r="XCI45" s="685"/>
      <c r="XCJ45" s="685"/>
      <c r="XCK45" s="685"/>
      <c r="XCL45" s="685"/>
      <c r="XCM45" s="685"/>
      <c r="XCN45" s="685"/>
      <c r="XCO45" s="685"/>
      <c r="XCP45" s="685"/>
      <c r="XCQ45" s="685"/>
      <c r="XCR45" s="685"/>
      <c r="XCS45" s="685"/>
      <c r="XCT45" s="685"/>
      <c r="XCU45" s="685"/>
      <c r="XCV45" s="685"/>
      <c r="XCW45" s="685"/>
      <c r="XCX45" s="685"/>
      <c r="XCY45" s="685"/>
      <c r="XCZ45" s="685"/>
      <c r="XDA45" s="685"/>
      <c r="XDB45" s="685"/>
      <c r="XDC45" s="685"/>
      <c r="XDD45" s="685"/>
      <c r="XDE45" s="685"/>
      <c r="XDF45" s="685"/>
      <c r="XDG45" s="685"/>
      <c r="XDH45" s="685"/>
      <c r="XDI45" s="685"/>
      <c r="XDJ45" s="685"/>
      <c r="XDK45" s="685"/>
      <c r="XDL45" s="685"/>
      <c r="XDM45" s="685"/>
      <c r="XDN45" s="685"/>
      <c r="XDO45" s="685"/>
      <c r="XDP45" s="685"/>
      <c r="XDQ45" s="685"/>
      <c r="XDR45" s="685"/>
      <c r="XDS45" s="685"/>
      <c r="XDT45" s="685"/>
      <c r="XDU45" s="685"/>
      <c r="XDV45" s="685"/>
      <c r="XDW45" s="685"/>
      <c r="XDX45" s="685"/>
      <c r="XDY45" s="685"/>
      <c r="XDZ45" s="685"/>
      <c r="XEA45" s="685"/>
      <c r="XEB45" s="685"/>
      <c r="XEC45" s="685"/>
      <c r="XED45" s="685"/>
      <c r="XEE45" s="685"/>
      <c r="XEF45" s="685"/>
      <c r="XEG45" s="685"/>
      <c r="XEH45" s="685"/>
      <c r="XEI45" s="685"/>
      <c r="XEJ45" s="685"/>
      <c r="XEK45" s="685"/>
      <c r="XEL45" s="685"/>
      <c r="XEM45" s="685"/>
      <c r="XEN45" s="685"/>
      <c r="XEO45" s="685"/>
      <c r="XEP45" s="685"/>
      <c r="XEQ45" s="685"/>
      <c r="XER45" s="685"/>
      <c r="XES45" s="685"/>
      <c r="XET45" s="685"/>
      <c r="XEU45" s="685"/>
      <c r="XEV45" s="685"/>
      <c r="XEW45" s="685"/>
      <c r="XEX45" s="685"/>
      <c r="XEY45" s="685"/>
      <c r="XEZ45" s="685"/>
      <c r="XFA45" s="685"/>
      <c r="XFB45" s="685"/>
      <c r="XFC45" s="685"/>
      <c r="XFD45" s="685"/>
    </row>
    <row r="46" spans="1:16384" ht="21.75" customHeight="1"/>
    <row r="47" spans="1:16384" ht="15" customHeight="1"/>
    <row r="48" spans="1:16384" ht="15" customHeight="1"/>
    <row r="49" ht="15" customHeight="1"/>
    <row r="50" ht="15" customHeight="1"/>
  </sheetData>
  <sheetProtection algorithmName="SHA-512" hashValue="cDZTr0Srv9gnLxTB8L0UbhISuy+XCs0ndUWtDYSPCX8X135hGK3wxalM+2SbWPdB+vm37UFcPPs+eUa2jUM07A==" saltValue="aTVG93/zryt1v3/3xx+I/Q==" spinCount="100000" sheet="1" objects="1" scenarios="1"/>
  <mergeCells count="2056">
    <mergeCell ref="XAO45:XAV45"/>
    <mergeCell ref="XAG45:XAN45"/>
    <mergeCell ref="XBE45:XBL45"/>
    <mergeCell ref="XAW45:XBD45"/>
    <mergeCell ref="XBU45:XCB45"/>
    <mergeCell ref="XBM45:XBT45"/>
    <mergeCell ref="XCK45:XCR45"/>
    <mergeCell ref="XCC45:XCJ45"/>
    <mergeCell ref="XDY45:XEF45"/>
    <mergeCell ref="XEG45:XEN45"/>
    <mergeCell ref="XEW45:XFD45"/>
    <mergeCell ref="XEO45:XEV45"/>
    <mergeCell ref="XDQ45:XDX45"/>
    <mergeCell ref="XDI45:XDP45"/>
    <mergeCell ref="XDA45:XDH45"/>
    <mergeCell ref="XCS45:XCZ45"/>
    <mergeCell ref="WTE45:WTL45"/>
    <mergeCell ref="WSW45:WTD45"/>
    <mergeCell ref="WTU45:WUB45"/>
    <mergeCell ref="WTM45:WTT45"/>
    <mergeCell ref="WUK45:WUR45"/>
    <mergeCell ref="WUC45:WUJ45"/>
    <mergeCell ref="WVA45:WVH45"/>
    <mergeCell ref="WUS45:WUZ45"/>
    <mergeCell ref="WWO45:WWV45"/>
    <mergeCell ref="WWW45:WXD45"/>
    <mergeCell ref="WXM45:WXT45"/>
    <mergeCell ref="WXE45:WXL45"/>
    <mergeCell ref="WWG45:WWN45"/>
    <mergeCell ref="WVY45:WWF45"/>
    <mergeCell ref="WVQ45:WVX45"/>
    <mergeCell ref="WVI45:WVP45"/>
    <mergeCell ref="WZY45:XAF45"/>
    <mergeCell ref="WZQ45:WZX45"/>
    <mergeCell ref="WZI45:WZP45"/>
    <mergeCell ref="WZA45:WZH45"/>
    <mergeCell ref="WYC45:WYJ45"/>
    <mergeCell ref="WXU45:WYB45"/>
    <mergeCell ref="WYK45:WYR45"/>
    <mergeCell ref="WYS45:WYZ45"/>
    <mergeCell ref="WLU45:WMB45"/>
    <mergeCell ref="WLM45:WLT45"/>
    <mergeCell ref="WMK45:WMR45"/>
    <mergeCell ref="WMC45:WMJ45"/>
    <mergeCell ref="WNA45:WNH45"/>
    <mergeCell ref="WMS45:WMZ45"/>
    <mergeCell ref="WNQ45:WNX45"/>
    <mergeCell ref="WNI45:WNP45"/>
    <mergeCell ref="WPE45:WPL45"/>
    <mergeCell ref="WPM45:WPT45"/>
    <mergeCell ref="WQC45:WQJ45"/>
    <mergeCell ref="WPU45:WQB45"/>
    <mergeCell ref="WOW45:WPD45"/>
    <mergeCell ref="WOO45:WOV45"/>
    <mergeCell ref="WOG45:WON45"/>
    <mergeCell ref="WNY45:WOF45"/>
    <mergeCell ref="WSO45:WSV45"/>
    <mergeCell ref="WSG45:WSN45"/>
    <mergeCell ref="WRY45:WSF45"/>
    <mergeCell ref="WRQ45:WRX45"/>
    <mergeCell ref="WQS45:WQZ45"/>
    <mergeCell ref="WQK45:WQR45"/>
    <mergeCell ref="WRA45:WRH45"/>
    <mergeCell ref="WRI45:WRP45"/>
    <mergeCell ref="WEK45:WER45"/>
    <mergeCell ref="WEC45:WEJ45"/>
    <mergeCell ref="WFA45:WFH45"/>
    <mergeCell ref="WES45:WEZ45"/>
    <mergeCell ref="WFQ45:WFX45"/>
    <mergeCell ref="WFI45:WFP45"/>
    <mergeCell ref="WGG45:WGN45"/>
    <mergeCell ref="WFY45:WGF45"/>
    <mergeCell ref="WHU45:WIB45"/>
    <mergeCell ref="WIC45:WIJ45"/>
    <mergeCell ref="WIS45:WIZ45"/>
    <mergeCell ref="WIK45:WIR45"/>
    <mergeCell ref="WHM45:WHT45"/>
    <mergeCell ref="WHE45:WHL45"/>
    <mergeCell ref="WGW45:WHD45"/>
    <mergeCell ref="WGO45:WGV45"/>
    <mergeCell ref="WLE45:WLL45"/>
    <mergeCell ref="WKW45:WLD45"/>
    <mergeCell ref="WKO45:WKV45"/>
    <mergeCell ref="WKG45:WKN45"/>
    <mergeCell ref="WJI45:WJP45"/>
    <mergeCell ref="WJA45:WJH45"/>
    <mergeCell ref="WJQ45:WJX45"/>
    <mergeCell ref="WJY45:WKF45"/>
    <mergeCell ref="VXA45:VXH45"/>
    <mergeCell ref="VWS45:VWZ45"/>
    <mergeCell ref="VXQ45:VXX45"/>
    <mergeCell ref="VXI45:VXP45"/>
    <mergeCell ref="VYG45:VYN45"/>
    <mergeCell ref="VXY45:VYF45"/>
    <mergeCell ref="VYW45:VZD45"/>
    <mergeCell ref="VYO45:VYV45"/>
    <mergeCell ref="WAK45:WAR45"/>
    <mergeCell ref="WAS45:WAZ45"/>
    <mergeCell ref="WBI45:WBP45"/>
    <mergeCell ref="WBA45:WBH45"/>
    <mergeCell ref="WAC45:WAJ45"/>
    <mergeCell ref="VZU45:WAB45"/>
    <mergeCell ref="VZM45:VZT45"/>
    <mergeCell ref="VZE45:VZL45"/>
    <mergeCell ref="WDU45:WEB45"/>
    <mergeCell ref="WDM45:WDT45"/>
    <mergeCell ref="WDE45:WDL45"/>
    <mergeCell ref="WCW45:WDD45"/>
    <mergeCell ref="WBY45:WCF45"/>
    <mergeCell ref="WBQ45:WBX45"/>
    <mergeCell ref="WCG45:WCN45"/>
    <mergeCell ref="WCO45:WCV45"/>
    <mergeCell ref="VPQ45:VPX45"/>
    <mergeCell ref="VPI45:VPP45"/>
    <mergeCell ref="VQG45:VQN45"/>
    <mergeCell ref="VPY45:VQF45"/>
    <mergeCell ref="VQW45:VRD45"/>
    <mergeCell ref="VQO45:VQV45"/>
    <mergeCell ref="VRM45:VRT45"/>
    <mergeCell ref="VRE45:VRL45"/>
    <mergeCell ref="VTA45:VTH45"/>
    <mergeCell ref="VTI45:VTP45"/>
    <mergeCell ref="VTY45:VUF45"/>
    <mergeCell ref="VTQ45:VTX45"/>
    <mergeCell ref="VSS45:VSZ45"/>
    <mergeCell ref="VSK45:VSR45"/>
    <mergeCell ref="VSC45:VSJ45"/>
    <mergeCell ref="VRU45:VSB45"/>
    <mergeCell ref="VWK45:VWR45"/>
    <mergeCell ref="VWC45:VWJ45"/>
    <mergeCell ref="VVU45:VWB45"/>
    <mergeCell ref="VVM45:VVT45"/>
    <mergeCell ref="VUO45:VUV45"/>
    <mergeCell ref="VUG45:VUN45"/>
    <mergeCell ref="VUW45:VVD45"/>
    <mergeCell ref="VVE45:VVL45"/>
    <mergeCell ref="VIG45:VIN45"/>
    <mergeCell ref="VHY45:VIF45"/>
    <mergeCell ref="VIW45:VJD45"/>
    <mergeCell ref="VIO45:VIV45"/>
    <mergeCell ref="VJM45:VJT45"/>
    <mergeCell ref="VJE45:VJL45"/>
    <mergeCell ref="VKC45:VKJ45"/>
    <mergeCell ref="VJU45:VKB45"/>
    <mergeCell ref="VLQ45:VLX45"/>
    <mergeCell ref="VLY45:VMF45"/>
    <mergeCell ref="VMO45:VMV45"/>
    <mergeCell ref="VMG45:VMN45"/>
    <mergeCell ref="VLI45:VLP45"/>
    <mergeCell ref="VLA45:VLH45"/>
    <mergeCell ref="VKS45:VKZ45"/>
    <mergeCell ref="VKK45:VKR45"/>
    <mergeCell ref="VPA45:VPH45"/>
    <mergeCell ref="VOS45:VOZ45"/>
    <mergeCell ref="VOK45:VOR45"/>
    <mergeCell ref="VOC45:VOJ45"/>
    <mergeCell ref="VNE45:VNL45"/>
    <mergeCell ref="VMW45:VND45"/>
    <mergeCell ref="VNM45:VNT45"/>
    <mergeCell ref="VNU45:VOB45"/>
    <mergeCell ref="VAW45:VBD45"/>
    <mergeCell ref="VAO45:VAV45"/>
    <mergeCell ref="VBM45:VBT45"/>
    <mergeCell ref="VBE45:VBL45"/>
    <mergeCell ref="VCC45:VCJ45"/>
    <mergeCell ref="VBU45:VCB45"/>
    <mergeCell ref="VCS45:VCZ45"/>
    <mergeCell ref="VCK45:VCR45"/>
    <mergeCell ref="VEG45:VEN45"/>
    <mergeCell ref="VEO45:VEV45"/>
    <mergeCell ref="VFE45:VFL45"/>
    <mergeCell ref="VEW45:VFD45"/>
    <mergeCell ref="VDY45:VEF45"/>
    <mergeCell ref="VDQ45:VDX45"/>
    <mergeCell ref="VDI45:VDP45"/>
    <mergeCell ref="VDA45:VDH45"/>
    <mergeCell ref="VHQ45:VHX45"/>
    <mergeCell ref="VHI45:VHP45"/>
    <mergeCell ref="VHA45:VHH45"/>
    <mergeCell ref="VGS45:VGZ45"/>
    <mergeCell ref="VFU45:VGB45"/>
    <mergeCell ref="VFM45:VFT45"/>
    <mergeCell ref="VGC45:VGJ45"/>
    <mergeCell ref="VGK45:VGR45"/>
    <mergeCell ref="UTM45:UTT45"/>
    <mergeCell ref="UTE45:UTL45"/>
    <mergeCell ref="UUC45:UUJ45"/>
    <mergeCell ref="UTU45:UUB45"/>
    <mergeCell ref="UUS45:UUZ45"/>
    <mergeCell ref="UUK45:UUR45"/>
    <mergeCell ref="UVI45:UVP45"/>
    <mergeCell ref="UVA45:UVH45"/>
    <mergeCell ref="UWW45:UXD45"/>
    <mergeCell ref="UXE45:UXL45"/>
    <mergeCell ref="UXU45:UYB45"/>
    <mergeCell ref="UXM45:UXT45"/>
    <mergeCell ref="UWO45:UWV45"/>
    <mergeCell ref="UWG45:UWN45"/>
    <mergeCell ref="UVY45:UWF45"/>
    <mergeCell ref="UVQ45:UVX45"/>
    <mergeCell ref="VAG45:VAN45"/>
    <mergeCell ref="UZY45:VAF45"/>
    <mergeCell ref="UZQ45:UZX45"/>
    <mergeCell ref="UZI45:UZP45"/>
    <mergeCell ref="UYK45:UYR45"/>
    <mergeCell ref="UYC45:UYJ45"/>
    <mergeCell ref="UYS45:UYZ45"/>
    <mergeCell ref="UZA45:UZH45"/>
    <mergeCell ref="UMC45:UMJ45"/>
    <mergeCell ref="ULU45:UMB45"/>
    <mergeCell ref="UMS45:UMZ45"/>
    <mergeCell ref="UMK45:UMR45"/>
    <mergeCell ref="UNI45:UNP45"/>
    <mergeCell ref="UNA45:UNH45"/>
    <mergeCell ref="UNY45:UOF45"/>
    <mergeCell ref="UNQ45:UNX45"/>
    <mergeCell ref="UPM45:UPT45"/>
    <mergeCell ref="UPU45:UQB45"/>
    <mergeCell ref="UQK45:UQR45"/>
    <mergeCell ref="UQC45:UQJ45"/>
    <mergeCell ref="UPE45:UPL45"/>
    <mergeCell ref="UOW45:UPD45"/>
    <mergeCell ref="UOO45:UOV45"/>
    <mergeCell ref="UOG45:UON45"/>
    <mergeCell ref="USW45:UTD45"/>
    <mergeCell ref="USO45:USV45"/>
    <mergeCell ref="USG45:USN45"/>
    <mergeCell ref="URY45:USF45"/>
    <mergeCell ref="URA45:URH45"/>
    <mergeCell ref="UQS45:UQZ45"/>
    <mergeCell ref="URI45:URP45"/>
    <mergeCell ref="URQ45:URX45"/>
    <mergeCell ref="UES45:UEZ45"/>
    <mergeCell ref="UEK45:UER45"/>
    <mergeCell ref="UFI45:UFP45"/>
    <mergeCell ref="UFA45:UFH45"/>
    <mergeCell ref="UFY45:UGF45"/>
    <mergeCell ref="UFQ45:UFX45"/>
    <mergeCell ref="UGO45:UGV45"/>
    <mergeCell ref="UGG45:UGN45"/>
    <mergeCell ref="UIC45:UIJ45"/>
    <mergeCell ref="UIK45:UIR45"/>
    <mergeCell ref="UJA45:UJH45"/>
    <mergeCell ref="UIS45:UIZ45"/>
    <mergeCell ref="UHU45:UIB45"/>
    <mergeCell ref="UHM45:UHT45"/>
    <mergeCell ref="UHE45:UHL45"/>
    <mergeCell ref="UGW45:UHD45"/>
    <mergeCell ref="ULM45:ULT45"/>
    <mergeCell ref="ULE45:ULL45"/>
    <mergeCell ref="UKW45:ULD45"/>
    <mergeCell ref="UKO45:UKV45"/>
    <mergeCell ref="UJQ45:UJX45"/>
    <mergeCell ref="UJI45:UJP45"/>
    <mergeCell ref="UJY45:UKF45"/>
    <mergeCell ref="UKG45:UKN45"/>
    <mergeCell ref="TXI45:TXP45"/>
    <mergeCell ref="TXA45:TXH45"/>
    <mergeCell ref="TXY45:TYF45"/>
    <mergeCell ref="TXQ45:TXX45"/>
    <mergeCell ref="TYO45:TYV45"/>
    <mergeCell ref="TYG45:TYN45"/>
    <mergeCell ref="TZE45:TZL45"/>
    <mergeCell ref="TYW45:TZD45"/>
    <mergeCell ref="UAS45:UAZ45"/>
    <mergeCell ref="UBA45:UBH45"/>
    <mergeCell ref="UBQ45:UBX45"/>
    <mergeCell ref="UBI45:UBP45"/>
    <mergeCell ref="UAK45:UAR45"/>
    <mergeCell ref="UAC45:UAJ45"/>
    <mergeCell ref="TZU45:UAB45"/>
    <mergeCell ref="TZM45:TZT45"/>
    <mergeCell ref="UEC45:UEJ45"/>
    <mergeCell ref="UDU45:UEB45"/>
    <mergeCell ref="UDM45:UDT45"/>
    <mergeCell ref="UDE45:UDL45"/>
    <mergeCell ref="UCG45:UCN45"/>
    <mergeCell ref="UBY45:UCF45"/>
    <mergeCell ref="UCO45:UCV45"/>
    <mergeCell ref="UCW45:UDD45"/>
    <mergeCell ref="TPY45:TQF45"/>
    <mergeCell ref="TPQ45:TPX45"/>
    <mergeCell ref="TQO45:TQV45"/>
    <mergeCell ref="TQG45:TQN45"/>
    <mergeCell ref="TRE45:TRL45"/>
    <mergeCell ref="TQW45:TRD45"/>
    <mergeCell ref="TRU45:TSB45"/>
    <mergeCell ref="TRM45:TRT45"/>
    <mergeCell ref="TTI45:TTP45"/>
    <mergeCell ref="TTQ45:TTX45"/>
    <mergeCell ref="TUG45:TUN45"/>
    <mergeCell ref="TTY45:TUF45"/>
    <mergeCell ref="TTA45:TTH45"/>
    <mergeCell ref="TSS45:TSZ45"/>
    <mergeCell ref="TSK45:TSR45"/>
    <mergeCell ref="TSC45:TSJ45"/>
    <mergeCell ref="TWS45:TWZ45"/>
    <mergeCell ref="TWK45:TWR45"/>
    <mergeCell ref="TWC45:TWJ45"/>
    <mergeCell ref="TVU45:TWB45"/>
    <mergeCell ref="TUW45:TVD45"/>
    <mergeCell ref="TUO45:TUV45"/>
    <mergeCell ref="TVE45:TVL45"/>
    <mergeCell ref="TVM45:TVT45"/>
    <mergeCell ref="TIO45:TIV45"/>
    <mergeCell ref="TIG45:TIN45"/>
    <mergeCell ref="TJE45:TJL45"/>
    <mergeCell ref="TIW45:TJD45"/>
    <mergeCell ref="TJU45:TKB45"/>
    <mergeCell ref="TJM45:TJT45"/>
    <mergeCell ref="TKK45:TKR45"/>
    <mergeCell ref="TKC45:TKJ45"/>
    <mergeCell ref="TLY45:TMF45"/>
    <mergeCell ref="TMG45:TMN45"/>
    <mergeCell ref="TMW45:TND45"/>
    <mergeCell ref="TMO45:TMV45"/>
    <mergeCell ref="TLQ45:TLX45"/>
    <mergeCell ref="TLI45:TLP45"/>
    <mergeCell ref="TLA45:TLH45"/>
    <mergeCell ref="TKS45:TKZ45"/>
    <mergeCell ref="TPI45:TPP45"/>
    <mergeCell ref="TPA45:TPH45"/>
    <mergeCell ref="TOS45:TOZ45"/>
    <mergeCell ref="TOK45:TOR45"/>
    <mergeCell ref="TNM45:TNT45"/>
    <mergeCell ref="TNE45:TNL45"/>
    <mergeCell ref="TNU45:TOB45"/>
    <mergeCell ref="TOC45:TOJ45"/>
    <mergeCell ref="TBE45:TBL45"/>
    <mergeCell ref="TAW45:TBD45"/>
    <mergeCell ref="TBU45:TCB45"/>
    <mergeCell ref="TBM45:TBT45"/>
    <mergeCell ref="TCK45:TCR45"/>
    <mergeCell ref="TCC45:TCJ45"/>
    <mergeCell ref="TDA45:TDH45"/>
    <mergeCell ref="TCS45:TCZ45"/>
    <mergeCell ref="TEO45:TEV45"/>
    <mergeCell ref="TEW45:TFD45"/>
    <mergeCell ref="TFM45:TFT45"/>
    <mergeCell ref="TFE45:TFL45"/>
    <mergeCell ref="TEG45:TEN45"/>
    <mergeCell ref="TDY45:TEF45"/>
    <mergeCell ref="TDQ45:TDX45"/>
    <mergeCell ref="TDI45:TDP45"/>
    <mergeCell ref="THY45:TIF45"/>
    <mergeCell ref="THQ45:THX45"/>
    <mergeCell ref="THI45:THP45"/>
    <mergeCell ref="THA45:THH45"/>
    <mergeCell ref="TGC45:TGJ45"/>
    <mergeCell ref="TFU45:TGB45"/>
    <mergeCell ref="TGK45:TGR45"/>
    <mergeCell ref="TGS45:TGZ45"/>
    <mergeCell ref="STU45:SUB45"/>
    <mergeCell ref="STM45:STT45"/>
    <mergeCell ref="SUK45:SUR45"/>
    <mergeCell ref="SUC45:SUJ45"/>
    <mergeCell ref="SVA45:SVH45"/>
    <mergeCell ref="SUS45:SUZ45"/>
    <mergeCell ref="SVQ45:SVX45"/>
    <mergeCell ref="SVI45:SVP45"/>
    <mergeCell ref="SXE45:SXL45"/>
    <mergeCell ref="SXM45:SXT45"/>
    <mergeCell ref="SYC45:SYJ45"/>
    <mergeCell ref="SXU45:SYB45"/>
    <mergeCell ref="SWW45:SXD45"/>
    <mergeCell ref="SWO45:SWV45"/>
    <mergeCell ref="SWG45:SWN45"/>
    <mergeCell ref="SVY45:SWF45"/>
    <mergeCell ref="TAO45:TAV45"/>
    <mergeCell ref="TAG45:TAN45"/>
    <mergeCell ref="SZY45:TAF45"/>
    <mergeCell ref="SZQ45:SZX45"/>
    <mergeCell ref="SYS45:SYZ45"/>
    <mergeCell ref="SYK45:SYR45"/>
    <mergeCell ref="SZA45:SZH45"/>
    <mergeCell ref="SZI45:SZP45"/>
    <mergeCell ref="SMK45:SMR45"/>
    <mergeCell ref="SMC45:SMJ45"/>
    <mergeCell ref="SNA45:SNH45"/>
    <mergeCell ref="SMS45:SMZ45"/>
    <mergeCell ref="SNQ45:SNX45"/>
    <mergeCell ref="SNI45:SNP45"/>
    <mergeCell ref="SOG45:SON45"/>
    <mergeCell ref="SNY45:SOF45"/>
    <mergeCell ref="SPU45:SQB45"/>
    <mergeCell ref="SQC45:SQJ45"/>
    <mergeCell ref="SQS45:SQZ45"/>
    <mergeCell ref="SQK45:SQR45"/>
    <mergeCell ref="SPM45:SPT45"/>
    <mergeCell ref="SPE45:SPL45"/>
    <mergeCell ref="SOW45:SPD45"/>
    <mergeCell ref="SOO45:SOV45"/>
    <mergeCell ref="STE45:STL45"/>
    <mergeCell ref="SSW45:STD45"/>
    <mergeCell ref="SSO45:SSV45"/>
    <mergeCell ref="SSG45:SSN45"/>
    <mergeCell ref="SRI45:SRP45"/>
    <mergeCell ref="SRA45:SRH45"/>
    <mergeCell ref="SRQ45:SRX45"/>
    <mergeCell ref="SRY45:SSF45"/>
    <mergeCell ref="SFA45:SFH45"/>
    <mergeCell ref="SES45:SEZ45"/>
    <mergeCell ref="SFQ45:SFX45"/>
    <mergeCell ref="SFI45:SFP45"/>
    <mergeCell ref="SGG45:SGN45"/>
    <mergeCell ref="SFY45:SGF45"/>
    <mergeCell ref="SGW45:SHD45"/>
    <mergeCell ref="SGO45:SGV45"/>
    <mergeCell ref="SIK45:SIR45"/>
    <mergeCell ref="SIS45:SIZ45"/>
    <mergeCell ref="SJI45:SJP45"/>
    <mergeCell ref="SJA45:SJH45"/>
    <mergeCell ref="SIC45:SIJ45"/>
    <mergeCell ref="SHU45:SIB45"/>
    <mergeCell ref="SHM45:SHT45"/>
    <mergeCell ref="SHE45:SHL45"/>
    <mergeCell ref="SLU45:SMB45"/>
    <mergeCell ref="SLM45:SLT45"/>
    <mergeCell ref="SLE45:SLL45"/>
    <mergeCell ref="SKW45:SLD45"/>
    <mergeCell ref="SJY45:SKF45"/>
    <mergeCell ref="SJQ45:SJX45"/>
    <mergeCell ref="SKG45:SKN45"/>
    <mergeCell ref="SKO45:SKV45"/>
    <mergeCell ref="RXQ45:RXX45"/>
    <mergeCell ref="RXI45:RXP45"/>
    <mergeCell ref="RYG45:RYN45"/>
    <mergeCell ref="RXY45:RYF45"/>
    <mergeCell ref="RYW45:RZD45"/>
    <mergeCell ref="RYO45:RYV45"/>
    <mergeCell ref="RZM45:RZT45"/>
    <mergeCell ref="RZE45:RZL45"/>
    <mergeCell ref="SBA45:SBH45"/>
    <mergeCell ref="SBI45:SBP45"/>
    <mergeCell ref="SBY45:SCF45"/>
    <mergeCell ref="SBQ45:SBX45"/>
    <mergeCell ref="SAS45:SAZ45"/>
    <mergeCell ref="SAK45:SAR45"/>
    <mergeCell ref="SAC45:SAJ45"/>
    <mergeCell ref="RZU45:SAB45"/>
    <mergeCell ref="SEK45:SER45"/>
    <mergeCell ref="SEC45:SEJ45"/>
    <mergeCell ref="SDU45:SEB45"/>
    <mergeCell ref="SDM45:SDT45"/>
    <mergeCell ref="SCO45:SCV45"/>
    <mergeCell ref="SCG45:SCN45"/>
    <mergeCell ref="SCW45:SDD45"/>
    <mergeCell ref="SDE45:SDL45"/>
    <mergeCell ref="RQG45:RQN45"/>
    <mergeCell ref="RPY45:RQF45"/>
    <mergeCell ref="RQW45:RRD45"/>
    <mergeCell ref="RQO45:RQV45"/>
    <mergeCell ref="RRM45:RRT45"/>
    <mergeCell ref="RRE45:RRL45"/>
    <mergeCell ref="RSC45:RSJ45"/>
    <mergeCell ref="RRU45:RSB45"/>
    <mergeCell ref="RTQ45:RTX45"/>
    <mergeCell ref="RTY45:RUF45"/>
    <mergeCell ref="RUO45:RUV45"/>
    <mergeCell ref="RUG45:RUN45"/>
    <mergeCell ref="RTI45:RTP45"/>
    <mergeCell ref="RTA45:RTH45"/>
    <mergeCell ref="RSS45:RSZ45"/>
    <mergeCell ref="RSK45:RSR45"/>
    <mergeCell ref="RXA45:RXH45"/>
    <mergeCell ref="RWS45:RWZ45"/>
    <mergeCell ref="RWK45:RWR45"/>
    <mergeCell ref="RWC45:RWJ45"/>
    <mergeCell ref="RVE45:RVL45"/>
    <mergeCell ref="RUW45:RVD45"/>
    <mergeCell ref="RVM45:RVT45"/>
    <mergeCell ref="RVU45:RWB45"/>
    <mergeCell ref="RIW45:RJD45"/>
    <mergeCell ref="RIO45:RIV45"/>
    <mergeCell ref="RJM45:RJT45"/>
    <mergeCell ref="RJE45:RJL45"/>
    <mergeCell ref="RKC45:RKJ45"/>
    <mergeCell ref="RJU45:RKB45"/>
    <mergeCell ref="RKS45:RKZ45"/>
    <mergeCell ref="RKK45:RKR45"/>
    <mergeCell ref="RMG45:RMN45"/>
    <mergeCell ref="RMO45:RMV45"/>
    <mergeCell ref="RNE45:RNL45"/>
    <mergeCell ref="RMW45:RND45"/>
    <mergeCell ref="RLY45:RMF45"/>
    <mergeCell ref="RLQ45:RLX45"/>
    <mergeCell ref="RLI45:RLP45"/>
    <mergeCell ref="RLA45:RLH45"/>
    <mergeCell ref="RPQ45:RPX45"/>
    <mergeCell ref="RPI45:RPP45"/>
    <mergeCell ref="RPA45:RPH45"/>
    <mergeCell ref="ROS45:ROZ45"/>
    <mergeCell ref="RNU45:ROB45"/>
    <mergeCell ref="RNM45:RNT45"/>
    <mergeCell ref="ROC45:ROJ45"/>
    <mergeCell ref="ROK45:ROR45"/>
    <mergeCell ref="RBM45:RBT45"/>
    <mergeCell ref="RBE45:RBL45"/>
    <mergeCell ref="RCC45:RCJ45"/>
    <mergeCell ref="RBU45:RCB45"/>
    <mergeCell ref="RCS45:RCZ45"/>
    <mergeCell ref="RCK45:RCR45"/>
    <mergeCell ref="RDI45:RDP45"/>
    <mergeCell ref="RDA45:RDH45"/>
    <mergeCell ref="REW45:RFD45"/>
    <mergeCell ref="RFE45:RFL45"/>
    <mergeCell ref="RFU45:RGB45"/>
    <mergeCell ref="RFM45:RFT45"/>
    <mergeCell ref="REO45:REV45"/>
    <mergeCell ref="REG45:REN45"/>
    <mergeCell ref="RDY45:REF45"/>
    <mergeCell ref="RDQ45:RDX45"/>
    <mergeCell ref="RIG45:RIN45"/>
    <mergeCell ref="RHY45:RIF45"/>
    <mergeCell ref="RHQ45:RHX45"/>
    <mergeCell ref="RHI45:RHP45"/>
    <mergeCell ref="RGK45:RGR45"/>
    <mergeCell ref="RGC45:RGJ45"/>
    <mergeCell ref="RGS45:RGZ45"/>
    <mergeCell ref="RHA45:RHH45"/>
    <mergeCell ref="QUC45:QUJ45"/>
    <mergeCell ref="QTU45:QUB45"/>
    <mergeCell ref="QUS45:QUZ45"/>
    <mergeCell ref="QUK45:QUR45"/>
    <mergeCell ref="QVI45:QVP45"/>
    <mergeCell ref="QVA45:QVH45"/>
    <mergeCell ref="QVY45:QWF45"/>
    <mergeCell ref="QVQ45:QVX45"/>
    <mergeCell ref="QXM45:QXT45"/>
    <mergeCell ref="QXU45:QYB45"/>
    <mergeCell ref="QYK45:QYR45"/>
    <mergeCell ref="QYC45:QYJ45"/>
    <mergeCell ref="QXE45:QXL45"/>
    <mergeCell ref="QWW45:QXD45"/>
    <mergeCell ref="QWO45:QWV45"/>
    <mergeCell ref="QWG45:QWN45"/>
    <mergeCell ref="RAW45:RBD45"/>
    <mergeCell ref="RAO45:RAV45"/>
    <mergeCell ref="RAG45:RAN45"/>
    <mergeCell ref="QZY45:RAF45"/>
    <mergeCell ref="QZA45:QZH45"/>
    <mergeCell ref="QYS45:QYZ45"/>
    <mergeCell ref="QZI45:QZP45"/>
    <mergeCell ref="QZQ45:QZX45"/>
    <mergeCell ref="QMS45:QMZ45"/>
    <mergeCell ref="QMK45:QMR45"/>
    <mergeCell ref="QNI45:QNP45"/>
    <mergeCell ref="QNA45:QNH45"/>
    <mergeCell ref="QNY45:QOF45"/>
    <mergeCell ref="QNQ45:QNX45"/>
    <mergeCell ref="QOO45:QOV45"/>
    <mergeCell ref="QOG45:QON45"/>
    <mergeCell ref="QQC45:QQJ45"/>
    <mergeCell ref="QQK45:QQR45"/>
    <mergeCell ref="QRA45:QRH45"/>
    <mergeCell ref="QQS45:QQZ45"/>
    <mergeCell ref="QPU45:QQB45"/>
    <mergeCell ref="QPM45:QPT45"/>
    <mergeCell ref="QPE45:QPL45"/>
    <mergeCell ref="QOW45:QPD45"/>
    <mergeCell ref="QTM45:QTT45"/>
    <mergeCell ref="QTE45:QTL45"/>
    <mergeCell ref="QSW45:QTD45"/>
    <mergeCell ref="QSO45:QSV45"/>
    <mergeCell ref="QRQ45:QRX45"/>
    <mergeCell ref="QRI45:QRP45"/>
    <mergeCell ref="QRY45:QSF45"/>
    <mergeCell ref="QSG45:QSN45"/>
    <mergeCell ref="QFI45:QFP45"/>
    <mergeCell ref="QFA45:QFH45"/>
    <mergeCell ref="QFY45:QGF45"/>
    <mergeCell ref="QFQ45:QFX45"/>
    <mergeCell ref="QGO45:QGV45"/>
    <mergeCell ref="QGG45:QGN45"/>
    <mergeCell ref="QHE45:QHL45"/>
    <mergeCell ref="QGW45:QHD45"/>
    <mergeCell ref="QIS45:QIZ45"/>
    <mergeCell ref="QJA45:QJH45"/>
    <mergeCell ref="QJQ45:QJX45"/>
    <mergeCell ref="QJI45:QJP45"/>
    <mergeCell ref="QIK45:QIR45"/>
    <mergeCell ref="QIC45:QIJ45"/>
    <mergeCell ref="QHU45:QIB45"/>
    <mergeCell ref="QHM45:QHT45"/>
    <mergeCell ref="QMC45:QMJ45"/>
    <mergeCell ref="QLU45:QMB45"/>
    <mergeCell ref="QLM45:QLT45"/>
    <mergeCell ref="QLE45:QLL45"/>
    <mergeCell ref="QKG45:QKN45"/>
    <mergeCell ref="QJY45:QKF45"/>
    <mergeCell ref="QKO45:QKV45"/>
    <mergeCell ref="QKW45:QLD45"/>
    <mergeCell ref="PXY45:PYF45"/>
    <mergeCell ref="PXQ45:PXX45"/>
    <mergeCell ref="PYO45:PYV45"/>
    <mergeCell ref="PYG45:PYN45"/>
    <mergeCell ref="PZE45:PZL45"/>
    <mergeCell ref="PYW45:PZD45"/>
    <mergeCell ref="PZU45:QAB45"/>
    <mergeCell ref="PZM45:PZT45"/>
    <mergeCell ref="QBI45:QBP45"/>
    <mergeCell ref="QBQ45:QBX45"/>
    <mergeCell ref="QCG45:QCN45"/>
    <mergeCell ref="QBY45:QCF45"/>
    <mergeCell ref="QBA45:QBH45"/>
    <mergeCell ref="QAS45:QAZ45"/>
    <mergeCell ref="QAK45:QAR45"/>
    <mergeCell ref="QAC45:QAJ45"/>
    <mergeCell ref="QES45:QEZ45"/>
    <mergeCell ref="QEK45:QER45"/>
    <mergeCell ref="QEC45:QEJ45"/>
    <mergeCell ref="QDU45:QEB45"/>
    <mergeCell ref="QCW45:QDD45"/>
    <mergeCell ref="QCO45:QCV45"/>
    <mergeCell ref="QDE45:QDL45"/>
    <mergeCell ref="QDM45:QDT45"/>
    <mergeCell ref="PQO45:PQV45"/>
    <mergeCell ref="PQG45:PQN45"/>
    <mergeCell ref="PRE45:PRL45"/>
    <mergeCell ref="PQW45:PRD45"/>
    <mergeCell ref="PRU45:PSB45"/>
    <mergeCell ref="PRM45:PRT45"/>
    <mergeCell ref="PSK45:PSR45"/>
    <mergeCell ref="PSC45:PSJ45"/>
    <mergeCell ref="PTY45:PUF45"/>
    <mergeCell ref="PUG45:PUN45"/>
    <mergeCell ref="PUW45:PVD45"/>
    <mergeCell ref="PUO45:PUV45"/>
    <mergeCell ref="PTQ45:PTX45"/>
    <mergeCell ref="PTI45:PTP45"/>
    <mergeCell ref="PTA45:PTH45"/>
    <mergeCell ref="PSS45:PSZ45"/>
    <mergeCell ref="PXI45:PXP45"/>
    <mergeCell ref="PXA45:PXH45"/>
    <mergeCell ref="PWS45:PWZ45"/>
    <mergeCell ref="PWK45:PWR45"/>
    <mergeCell ref="PVM45:PVT45"/>
    <mergeCell ref="PVE45:PVL45"/>
    <mergeCell ref="PVU45:PWB45"/>
    <mergeCell ref="PWC45:PWJ45"/>
    <mergeCell ref="PJE45:PJL45"/>
    <mergeCell ref="PIW45:PJD45"/>
    <mergeCell ref="PJU45:PKB45"/>
    <mergeCell ref="PJM45:PJT45"/>
    <mergeCell ref="PKK45:PKR45"/>
    <mergeCell ref="PKC45:PKJ45"/>
    <mergeCell ref="PLA45:PLH45"/>
    <mergeCell ref="PKS45:PKZ45"/>
    <mergeCell ref="PMO45:PMV45"/>
    <mergeCell ref="PMW45:PND45"/>
    <mergeCell ref="PNM45:PNT45"/>
    <mergeCell ref="PNE45:PNL45"/>
    <mergeCell ref="PMG45:PMN45"/>
    <mergeCell ref="PLY45:PMF45"/>
    <mergeCell ref="PLQ45:PLX45"/>
    <mergeCell ref="PLI45:PLP45"/>
    <mergeCell ref="PPY45:PQF45"/>
    <mergeCell ref="PPQ45:PPX45"/>
    <mergeCell ref="PPI45:PPP45"/>
    <mergeCell ref="PPA45:PPH45"/>
    <mergeCell ref="POC45:POJ45"/>
    <mergeCell ref="PNU45:POB45"/>
    <mergeCell ref="POK45:POR45"/>
    <mergeCell ref="POS45:POZ45"/>
    <mergeCell ref="PBU45:PCB45"/>
    <mergeCell ref="PBM45:PBT45"/>
    <mergeCell ref="PCK45:PCR45"/>
    <mergeCell ref="PCC45:PCJ45"/>
    <mergeCell ref="PDA45:PDH45"/>
    <mergeCell ref="PCS45:PCZ45"/>
    <mergeCell ref="PDQ45:PDX45"/>
    <mergeCell ref="PDI45:PDP45"/>
    <mergeCell ref="PFE45:PFL45"/>
    <mergeCell ref="PFM45:PFT45"/>
    <mergeCell ref="PGC45:PGJ45"/>
    <mergeCell ref="PFU45:PGB45"/>
    <mergeCell ref="PEW45:PFD45"/>
    <mergeCell ref="PEO45:PEV45"/>
    <mergeCell ref="PEG45:PEN45"/>
    <mergeCell ref="PDY45:PEF45"/>
    <mergeCell ref="PIO45:PIV45"/>
    <mergeCell ref="PIG45:PIN45"/>
    <mergeCell ref="PHY45:PIF45"/>
    <mergeCell ref="PHQ45:PHX45"/>
    <mergeCell ref="PGS45:PGZ45"/>
    <mergeCell ref="PGK45:PGR45"/>
    <mergeCell ref="PHA45:PHH45"/>
    <mergeCell ref="PHI45:PHP45"/>
    <mergeCell ref="OUK45:OUR45"/>
    <mergeCell ref="OUC45:OUJ45"/>
    <mergeCell ref="OVA45:OVH45"/>
    <mergeCell ref="OUS45:OUZ45"/>
    <mergeCell ref="OVQ45:OVX45"/>
    <mergeCell ref="OVI45:OVP45"/>
    <mergeCell ref="OWG45:OWN45"/>
    <mergeCell ref="OVY45:OWF45"/>
    <mergeCell ref="OXU45:OYB45"/>
    <mergeCell ref="OYC45:OYJ45"/>
    <mergeCell ref="OYS45:OYZ45"/>
    <mergeCell ref="OYK45:OYR45"/>
    <mergeCell ref="OXM45:OXT45"/>
    <mergeCell ref="OXE45:OXL45"/>
    <mergeCell ref="OWW45:OXD45"/>
    <mergeCell ref="OWO45:OWV45"/>
    <mergeCell ref="PBE45:PBL45"/>
    <mergeCell ref="PAW45:PBD45"/>
    <mergeCell ref="PAO45:PAV45"/>
    <mergeCell ref="PAG45:PAN45"/>
    <mergeCell ref="OZI45:OZP45"/>
    <mergeCell ref="OZA45:OZH45"/>
    <mergeCell ref="OZQ45:OZX45"/>
    <mergeCell ref="OZY45:PAF45"/>
    <mergeCell ref="ONA45:ONH45"/>
    <mergeCell ref="OMS45:OMZ45"/>
    <mergeCell ref="ONQ45:ONX45"/>
    <mergeCell ref="ONI45:ONP45"/>
    <mergeCell ref="OOG45:OON45"/>
    <mergeCell ref="ONY45:OOF45"/>
    <mergeCell ref="OOW45:OPD45"/>
    <mergeCell ref="OOO45:OOV45"/>
    <mergeCell ref="OQK45:OQR45"/>
    <mergeCell ref="OQS45:OQZ45"/>
    <mergeCell ref="ORI45:ORP45"/>
    <mergeCell ref="ORA45:ORH45"/>
    <mergeCell ref="OQC45:OQJ45"/>
    <mergeCell ref="OPU45:OQB45"/>
    <mergeCell ref="OPM45:OPT45"/>
    <mergeCell ref="OPE45:OPL45"/>
    <mergeCell ref="OTU45:OUB45"/>
    <mergeCell ref="OTM45:OTT45"/>
    <mergeCell ref="OTE45:OTL45"/>
    <mergeCell ref="OSW45:OTD45"/>
    <mergeCell ref="ORY45:OSF45"/>
    <mergeCell ref="ORQ45:ORX45"/>
    <mergeCell ref="OSG45:OSN45"/>
    <mergeCell ref="OSO45:OSV45"/>
    <mergeCell ref="OFQ45:OFX45"/>
    <mergeCell ref="OFI45:OFP45"/>
    <mergeCell ref="OGG45:OGN45"/>
    <mergeCell ref="OFY45:OGF45"/>
    <mergeCell ref="OGW45:OHD45"/>
    <mergeCell ref="OGO45:OGV45"/>
    <mergeCell ref="OHM45:OHT45"/>
    <mergeCell ref="OHE45:OHL45"/>
    <mergeCell ref="OJA45:OJH45"/>
    <mergeCell ref="OJI45:OJP45"/>
    <mergeCell ref="OJY45:OKF45"/>
    <mergeCell ref="OJQ45:OJX45"/>
    <mergeCell ref="OIS45:OIZ45"/>
    <mergeCell ref="OIK45:OIR45"/>
    <mergeCell ref="OIC45:OIJ45"/>
    <mergeCell ref="OHU45:OIB45"/>
    <mergeCell ref="OMK45:OMR45"/>
    <mergeCell ref="OMC45:OMJ45"/>
    <mergeCell ref="OLU45:OMB45"/>
    <mergeCell ref="OLM45:OLT45"/>
    <mergeCell ref="OKO45:OKV45"/>
    <mergeCell ref="OKG45:OKN45"/>
    <mergeCell ref="OKW45:OLD45"/>
    <mergeCell ref="OLE45:OLL45"/>
    <mergeCell ref="NYG45:NYN45"/>
    <mergeCell ref="NXY45:NYF45"/>
    <mergeCell ref="NYW45:NZD45"/>
    <mergeCell ref="NYO45:NYV45"/>
    <mergeCell ref="NZM45:NZT45"/>
    <mergeCell ref="NZE45:NZL45"/>
    <mergeCell ref="OAC45:OAJ45"/>
    <mergeCell ref="NZU45:OAB45"/>
    <mergeCell ref="OBQ45:OBX45"/>
    <mergeCell ref="OBY45:OCF45"/>
    <mergeCell ref="OCO45:OCV45"/>
    <mergeCell ref="OCG45:OCN45"/>
    <mergeCell ref="OBI45:OBP45"/>
    <mergeCell ref="OBA45:OBH45"/>
    <mergeCell ref="OAS45:OAZ45"/>
    <mergeCell ref="OAK45:OAR45"/>
    <mergeCell ref="OFA45:OFH45"/>
    <mergeCell ref="OES45:OEZ45"/>
    <mergeCell ref="OEK45:OER45"/>
    <mergeCell ref="OEC45:OEJ45"/>
    <mergeCell ref="ODE45:ODL45"/>
    <mergeCell ref="OCW45:ODD45"/>
    <mergeCell ref="ODM45:ODT45"/>
    <mergeCell ref="ODU45:OEB45"/>
    <mergeCell ref="NQW45:NRD45"/>
    <mergeCell ref="NQO45:NQV45"/>
    <mergeCell ref="NRM45:NRT45"/>
    <mergeCell ref="NRE45:NRL45"/>
    <mergeCell ref="NSC45:NSJ45"/>
    <mergeCell ref="NRU45:NSB45"/>
    <mergeCell ref="NSS45:NSZ45"/>
    <mergeCell ref="NSK45:NSR45"/>
    <mergeCell ref="NUG45:NUN45"/>
    <mergeCell ref="NUO45:NUV45"/>
    <mergeCell ref="NVE45:NVL45"/>
    <mergeCell ref="NUW45:NVD45"/>
    <mergeCell ref="NTY45:NUF45"/>
    <mergeCell ref="NTQ45:NTX45"/>
    <mergeCell ref="NTI45:NTP45"/>
    <mergeCell ref="NTA45:NTH45"/>
    <mergeCell ref="NXQ45:NXX45"/>
    <mergeCell ref="NXI45:NXP45"/>
    <mergeCell ref="NXA45:NXH45"/>
    <mergeCell ref="NWS45:NWZ45"/>
    <mergeCell ref="NVU45:NWB45"/>
    <mergeCell ref="NVM45:NVT45"/>
    <mergeCell ref="NWC45:NWJ45"/>
    <mergeCell ref="NWK45:NWR45"/>
    <mergeCell ref="NJM45:NJT45"/>
    <mergeCell ref="NJE45:NJL45"/>
    <mergeCell ref="NKC45:NKJ45"/>
    <mergeCell ref="NJU45:NKB45"/>
    <mergeCell ref="NKS45:NKZ45"/>
    <mergeCell ref="NKK45:NKR45"/>
    <mergeCell ref="NLI45:NLP45"/>
    <mergeCell ref="NLA45:NLH45"/>
    <mergeCell ref="NMW45:NND45"/>
    <mergeCell ref="NNE45:NNL45"/>
    <mergeCell ref="NNU45:NOB45"/>
    <mergeCell ref="NNM45:NNT45"/>
    <mergeCell ref="NMO45:NMV45"/>
    <mergeCell ref="NMG45:NMN45"/>
    <mergeCell ref="NLY45:NMF45"/>
    <mergeCell ref="NLQ45:NLX45"/>
    <mergeCell ref="NQG45:NQN45"/>
    <mergeCell ref="NPY45:NQF45"/>
    <mergeCell ref="NPQ45:NPX45"/>
    <mergeCell ref="NPI45:NPP45"/>
    <mergeCell ref="NOK45:NOR45"/>
    <mergeCell ref="NOC45:NOJ45"/>
    <mergeCell ref="NOS45:NOZ45"/>
    <mergeCell ref="NPA45:NPH45"/>
    <mergeCell ref="NCC45:NCJ45"/>
    <mergeCell ref="NBU45:NCB45"/>
    <mergeCell ref="NCS45:NCZ45"/>
    <mergeCell ref="NCK45:NCR45"/>
    <mergeCell ref="NDI45:NDP45"/>
    <mergeCell ref="NDA45:NDH45"/>
    <mergeCell ref="NDY45:NEF45"/>
    <mergeCell ref="NDQ45:NDX45"/>
    <mergeCell ref="NFM45:NFT45"/>
    <mergeCell ref="NFU45:NGB45"/>
    <mergeCell ref="NGK45:NGR45"/>
    <mergeCell ref="NGC45:NGJ45"/>
    <mergeCell ref="NFE45:NFL45"/>
    <mergeCell ref="NEW45:NFD45"/>
    <mergeCell ref="NEO45:NEV45"/>
    <mergeCell ref="NEG45:NEN45"/>
    <mergeCell ref="NIW45:NJD45"/>
    <mergeCell ref="NIO45:NIV45"/>
    <mergeCell ref="NIG45:NIN45"/>
    <mergeCell ref="NHY45:NIF45"/>
    <mergeCell ref="NHA45:NHH45"/>
    <mergeCell ref="NGS45:NGZ45"/>
    <mergeCell ref="NHI45:NHP45"/>
    <mergeCell ref="NHQ45:NHX45"/>
    <mergeCell ref="MUS45:MUZ45"/>
    <mergeCell ref="MUK45:MUR45"/>
    <mergeCell ref="MVI45:MVP45"/>
    <mergeCell ref="MVA45:MVH45"/>
    <mergeCell ref="MVY45:MWF45"/>
    <mergeCell ref="MVQ45:MVX45"/>
    <mergeCell ref="MWO45:MWV45"/>
    <mergeCell ref="MWG45:MWN45"/>
    <mergeCell ref="MYC45:MYJ45"/>
    <mergeCell ref="MYK45:MYR45"/>
    <mergeCell ref="MZA45:MZH45"/>
    <mergeCell ref="MYS45:MYZ45"/>
    <mergeCell ref="MXU45:MYB45"/>
    <mergeCell ref="MXM45:MXT45"/>
    <mergeCell ref="MXE45:MXL45"/>
    <mergeCell ref="MWW45:MXD45"/>
    <mergeCell ref="NBM45:NBT45"/>
    <mergeCell ref="NBE45:NBL45"/>
    <mergeCell ref="NAW45:NBD45"/>
    <mergeCell ref="NAO45:NAV45"/>
    <mergeCell ref="MZQ45:MZX45"/>
    <mergeCell ref="MZI45:MZP45"/>
    <mergeCell ref="MZY45:NAF45"/>
    <mergeCell ref="NAG45:NAN45"/>
    <mergeCell ref="MNI45:MNP45"/>
    <mergeCell ref="MNA45:MNH45"/>
    <mergeCell ref="MNY45:MOF45"/>
    <mergeCell ref="MNQ45:MNX45"/>
    <mergeCell ref="MOO45:MOV45"/>
    <mergeCell ref="MOG45:MON45"/>
    <mergeCell ref="MPE45:MPL45"/>
    <mergeCell ref="MOW45:MPD45"/>
    <mergeCell ref="MQS45:MQZ45"/>
    <mergeCell ref="MRA45:MRH45"/>
    <mergeCell ref="MRQ45:MRX45"/>
    <mergeCell ref="MRI45:MRP45"/>
    <mergeCell ref="MQK45:MQR45"/>
    <mergeCell ref="MQC45:MQJ45"/>
    <mergeCell ref="MPU45:MQB45"/>
    <mergeCell ref="MPM45:MPT45"/>
    <mergeCell ref="MUC45:MUJ45"/>
    <mergeCell ref="MTU45:MUB45"/>
    <mergeCell ref="MTM45:MTT45"/>
    <mergeCell ref="MTE45:MTL45"/>
    <mergeCell ref="MSG45:MSN45"/>
    <mergeCell ref="MRY45:MSF45"/>
    <mergeCell ref="MSO45:MSV45"/>
    <mergeCell ref="MSW45:MTD45"/>
    <mergeCell ref="MFY45:MGF45"/>
    <mergeCell ref="MFQ45:MFX45"/>
    <mergeCell ref="MGO45:MGV45"/>
    <mergeCell ref="MGG45:MGN45"/>
    <mergeCell ref="MHE45:MHL45"/>
    <mergeCell ref="MGW45:MHD45"/>
    <mergeCell ref="MHU45:MIB45"/>
    <mergeCell ref="MHM45:MHT45"/>
    <mergeCell ref="MJI45:MJP45"/>
    <mergeCell ref="MJQ45:MJX45"/>
    <mergeCell ref="MKG45:MKN45"/>
    <mergeCell ref="MJY45:MKF45"/>
    <mergeCell ref="MJA45:MJH45"/>
    <mergeCell ref="MIS45:MIZ45"/>
    <mergeCell ref="MIK45:MIR45"/>
    <mergeCell ref="MIC45:MIJ45"/>
    <mergeCell ref="MMS45:MMZ45"/>
    <mergeCell ref="MMK45:MMR45"/>
    <mergeCell ref="MMC45:MMJ45"/>
    <mergeCell ref="MLU45:MMB45"/>
    <mergeCell ref="MKW45:MLD45"/>
    <mergeCell ref="MKO45:MKV45"/>
    <mergeCell ref="MLE45:MLL45"/>
    <mergeCell ref="MLM45:MLT45"/>
    <mergeCell ref="LYO45:LYV45"/>
    <mergeCell ref="LYG45:LYN45"/>
    <mergeCell ref="LZE45:LZL45"/>
    <mergeCell ref="LYW45:LZD45"/>
    <mergeCell ref="LZU45:MAB45"/>
    <mergeCell ref="LZM45:LZT45"/>
    <mergeCell ref="MAK45:MAR45"/>
    <mergeCell ref="MAC45:MAJ45"/>
    <mergeCell ref="MBY45:MCF45"/>
    <mergeCell ref="MCG45:MCN45"/>
    <mergeCell ref="MCW45:MDD45"/>
    <mergeCell ref="MCO45:MCV45"/>
    <mergeCell ref="MBQ45:MBX45"/>
    <mergeCell ref="MBI45:MBP45"/>
    <mergeCell ref="MBA45:MBH45"/>
    <mergeCell ref="MAS45:MAZ45"/>
    <mergeCell ref="MFI45:MFP45"/>
    <mergeCell ref="MFA45:MFH45"/>
    <mergeCell ref="MES45:MEZ45"/>
    <mergeCell ref="MEK45:MER45"/>
    <mergeCell ref="MDM45:MDT45"/>
    <mergeCell ref="MDE45:MDL45"/>
    <mergeCell ref="MDU45:MEB45"/>
    <mergeCell ref="MEC45:MEJ45"/>
    <mergeCell ref="LRE45:LRL45"/>
    <mergeCell ref="LQW45:LRD45"/>
    <mergeCell ref="LRU45:LSB45"/>
    <mergeCell ref="LRM45:LRT45"/>
    <mergeCell ref="LSK45:LSR45"/>
    <mergeCell ref="LSC45:LSJ45"/>
    <mergeCell ref="LTA45:LTH45"/>
    <mergeCell ref="LSS45:LSZ45"/>
    <mergeCell ref="LUO45:LUV45"/>
    <mergeCell ref="LUW45:LVD45"/>
    <mergeCell ref="LVM45:LVT45"/>
    <mergeCell ref="LVE45:LVL45"/>
    <mergeCell ref="LUG45:LUN45"/>
    <mergeCell ref="LTY45:LUF45"/>
    <mergeCell ref="LTQ45:LTX45"/>
    <mergeCell ref="LTI45:LTP45"/>
    <mergeCell ref="LXY45:LYF45"/>
    <mergeCell ref="LXQ45:LXX45"/>
    <mergeCell ref="LXI45:LXP45"/>
    <mergeCell ref="LXA45:LXH45"/>
    <mergeCell ref="LWC45:LWJ45"/>
    <mergeCell ref="LVU45:LWB45"/>
    <mergeCell ref="LWK45:LWR45"/>
    <mergeCell ref="LWS45:LWZ45"/>
    <mergeCell ref="LJU45:LKB45"/>
    <mergeCell ref="LJM45:LJT45"/>
    <mergeCell ref="LKK45:LKR45"/>
    <mergeCell ref="LKC45:LKJ45"/>
    <mergeCell ref="LLA45:LLH45"/>
    <mergeCell ref="LKS45:LKZ45"/>
    <mergeCell ref="LLQ45:LLX45"/>
    <mergeCell ref="LLI45:LLP45"/>
    <mergeCell ref="LNE45:LNL45"/>
    <mergeCell ref="LNM45:LNT45"/>
    <mergeCell ref="LOC45:LOJ45"/>
    <mergeCell ref="LNU45:LOB45"/>
    <mergeCell ref="LMW45:LND45"/>
    <mergeCell ref="LMO45:LMV45"/>
    <mergeCell ref="LMG45:LMN45"/>
    <mergeCell ref="LLY45:LMF45"/>
    <mergeCell ref="LQO45:LQV45"/>
    <mergeCell ref="LQG45:LQN45"/>
    <mergeCell ref="LPY45:LQF45"/>
    <mergeCell ref="LPQ45:LPX45"/>
    <mergeCell ref="LOS45:LOZ45"/>
    <mergeCell ref="LOK45:LOR45"/>
    <mergeCell ref="LPA45:LPH45"/>
    <mergeCell ref="LPI45:LPP45"/>
    <mergeCell ref="LCK45:LCR45"/>
    <mergeCell ref="LCC45:LCJ45"/>
    <mergeCell ref="LDA45:LDH45"/>
    <mergeCell ref="LCS45:LCZ45"/>
    <mergeCell ref="LDQ45:LDX45"/>
    <mergeCell ref="LDI45:LDP45"/>
    <mergeCell ref="LEG45:LEN45"/>
    <mergeCell ref="LDY45:LEF45"/>
    <mergeCell ref="LFU45:LGB45"/>
    <mergeCell ref="LGC45:LGJ45"/>
    <mergeCell ref="LGS45:LGZ45"/>
    <mergeCell ref="LGK45:LGR45"/>
    <mergeCell ref="LFM45:LFT45"/>
    <mergeCell ref="LFE45:LFL45"/>
    <mergeCell ref="LEW45:LFD45"/>
    <mergeCell ref="LEO45:LEV45"/>
    <mergeCell ref="LJE45:LJL45"/>
    <mergeCell ref="LIW45:LJD45"/>
    <mergeCell ref="LIO45:LIV45"/>
    <mergeCell ref="LIG45:LIN45"/>
    <mergeCell ref="LHI45:LHP45"/>
    <mergeCell ref="LHA45:LHH45"/>
    <mergeCell ref="LHQ45:LHX45"/>
    <mergeCell ref="LHY45:LIF45"/>
    <mergeCell ref="KVA45:KVH45"/>
    <mergeCell ref="KUS45:KUZ45"/>
    <mergeCell ref="KVQ45:KVX45"/>
    <mergeCell ref="KVI45:KVP45"/>
    <mergeCell ref="KWG45:KWN45"/>
    <mergeCell ref="KVY45:KWF45"/>
    <mergeCell ref="KWW45:KXD45"/>
    <mergeCell ref="KWO45:KWV45"/>
    <mergeCell ref="KYK45:KYR45"/>
    <mergeCell ref="KYS45:KYZ45"/>
    <mergeCell ref="KZI45:KZP45"/>
    <mergeCell ref="KZA45:KZH45"/>
    <mergeCell ref="KYC45:KYJ45"/>
    <mergeCell ref="KXU45:KYB45"/>
    <mergeCell ref="KXM45:KXT45"/>
    <mergeCell ref="KXE45:KXL45"/>
    <mergeCell ref="LBU45:LCB45"/>
    <mergeCell ref="LBM45:LBT45"/>
    <mergeCell ref="LBE45:LBL45"/>
    <mergeCell ref="LAW45:LBD45"/>
    <mergeCell ref="KZY45:LAF45"/>
    <mergeCell ref="KZQ45:KZX45"/>
    <mergeCell ref="LAG45:LAN45"/>
    <mergeCell ref="LAO45:LAV45"/>
    <mergeCell ref="KNQ45:KNX45"/>
    <mergeCell ref="KNI45:KNP45"/>
    <mergeCell ref="KOG45:KON45"/>
    <mergeCell ref="KNY45:KOF45"/>
    <mergeCell ref="KOW45:KPD45"/>
    <mergeCell ref="KOO45:KOV45"/>
    <mergeCell ref="KPM45:KPT45"/>
    <mergeCell ref="KPE45:KPL45"/>
    <mergeCell ref="KRA45:KRH45"/>
    <mergeCell ref="KRI45:KRP45"/>
    <mergeCell ref="KRY45:KSF45"/>
    <mergeCell ref="KRQ45:KRX45"/>
    <mergeCell ref="KQS45:KQZ45"/>
    <mergeCell ref="KQK45:KQR45"/>
    <mergeCell ref="KQC45:KQJ45"/>
    <mergeCell ref="KPU45:KQB45"/>
    <mergeCell ref="KUK45:KUR45"/>
    <mergeCell ref="KUC45:KUJ45"/>
    <mergeCell ref="KTU45:KUB45"/>
    <mergeCell ref="KTM45:KTT45"/>
    <mergeCell ref="KSO45:KSV45"/>
    <mergeCell ref="KSG45:KSN45"/>
    <mergeCell ref="KSW45:KTD45"/>
    <mergeCell ref="KTE45:KTL45"/>
    <mergeCell ref="KGG45:KGN45"/>
    <mergeCell ref="KFY45:KGF45"/>
    <mergeCell ref="KGW45:KHD45"/>
    <mergeCell ref="KGO45:KGV45"/>
    <mergeCell ref="KHM45:KHT45"/>
    <mergeCell ref="KHE45:KHL45"/>
    <mergeCell ref="KIC45:KIJ45"/>
    <mergeCell ref="KHU45:KIB45"/>
    <mergeCell ref="KJQ45:KJX45"/>
    <mergeCell ref="KJY45:KKF45"/>
    <mergeCell ref="KKO45:KKV45"/>
    <mergeCell ref="KKG45:KKN45"/>
    <mergeCell ref="KJI45:KJP45"/>
    <mergeCell ref="KJA45:KJH45"/>
    <mergeCell ref="KIS45:KIZ45"/>
    <mergeCell ref="KIK45:KIR45"/>
    <mergeCell ref="KNA45:KNH45"/>
    <mergeCell ref="KMS45:KMZ45"/>
    <mergeCell ref="KMK45:KMR45"/>
    <mergeCell ref="KMC45:KMJ45"/>
    <mergeCell ref="KLE45:KLL45"/>
    <mergeCell ref="KKW45:KLD45"/>
    <mergeCell ref="KLM45:KLT45"/>
    <mergeCell ref="KLU45:KMB45"/>
    <mergeCell ref="JYW45:JZD45"/>
    <mergeCell ref="JYO45:JYV45"/>
    <mergeCell ref="JZM45:JZT45"/>
    <mergeCell ref="JZE45:JZL45"/>
    <mergeCell ref="KAC45:KAJ45"/>
    <mergeCell ref="JZU45:KAB45"/>
    <mergeCell ref="KAS45:KAZ45"/>
    <mergeCell ref="KAK45:KAR45"/>
    <mergeCell ref="KCG45:KCN45"/>
    <mergeCell ref="KCO45:KCV45"/>
    <mergeCell ref="KDE45:KDL45"/>
    <mergeCell ref="KCW45:KDD45"/>
    <mergeCell ref="KBY45:KCF45"/>
    <mergeCell ref="KBQ45:KBX45"/>
    <mergeCell ref="KBI45:KBP45"/>
    <mergeCell ref="KBA45:KBH45"/>
    <mergeCell ref="KFQ45:KFX45"/>
    <mergeCell ref="KFI45:KFP45"/>
    <mergeCell ref="KFA45:KFH45"/>
    <mergeCell ref="KES45:KEZ45"/>
    <mergeCell ref="KDU45:KEB45"/>
    <mergeCell ref="KDM45:KDT45"/>
    <mergeCell ref="KEC45:KEJ45"/>
    <mergeCell ref="KEK45:KER45"/>
    <mergeCell ref="JRM45:JRT45"/>
    <mergeCell ref="JRE45:JRL45"/>
    <mergeCell ref="JSC45:JSJ45"/>
    <mergeCell ref="JRU45:JSB45"/>
    <mergeCell ref="JSS45:JSZ45"/>
    <mergeCell ref="JSK45:JSR45"/>
    <mergeCell ref="JTI45:JTP45"/>
    <mergeCell ref="JTA45:JTH45"/>
    <mergeCell ref="JUW45:JVD45"/>
    <mergeCell ref="JVE45:JVL45"/>
    <mergeCell ref="JVU45:JWB45"/>
    <mergeCell ref="JVM45:JVT45"/>
    <mergeCell ref="JUO45:JUV45"/>
    <mergeCell ref="JUG45:JUN45"/>
    <mergeCell ref="JTY45:JUF45"/>
    <mergeCell ref="JTQ45:JTX45"/>
    <mergeCell ref="JYG45:JYN45"/>
    <mergeCell ref="JXY45:JYF45"/>
    <mergeCell ref="JXQ45:JXX45"/>
    <mergeCell ref="JXI45:JXP45"/>
    <mergeCell ref="JWK45:JWR45"/>
    <mergeCell ref="JWC45:JWJ45"/>
    <mergeCell ref="JWS45:JWZ45"/>
    <mergeCell ref="JXA45:JXH45"/>
    <mergeCell ref="JKC45:JKJ45"/>
    <mergeCell ref="JJU45:JKB45"/>
    <mergeCell ref="JKS45:JKZ45"/>
    <mergeCell ref="JKK45:JKR45"/>
    <mergeCell ref="JLI45:JLP45"/>
    <mergeCell ref="JLA45:JLH45"/>
    <mergeCell ref="JLY45:JMF45"/>
    <mergeCell ref="JLQ45:JLX45"/>
    <mergeCell ref="JNM45:JNT45"/>
    <mergeCell ref="JNU45:JOB45"/>
    <mergeCell ref="JOK45:JOR45"/>
    <mergeCell ref="JOC45:JOJ45"/>
    <mergeCell ref="JNE45:JNL45"/>
    <mergeCell ref="JMW45:JND45"/>
    <mergeCell ref="JMO45:JMV45"/>
    <mergeCell ref="JMG45:JMN45"/>
    <mergeCell ref="JQW45:JRD45"/>
    <mergeCell ref="JQO45:JQV45"/>
    <mergeCell ref="JQG45:JQN45"/>
    <mergeCell ref="JPY45:JQF45"/>
    <mergeCell ref="JPA45:JPH45"/>
    <mergeCell ref="JOS45:JOZ45"/>
    <mergeCell ref="JPI45:JPP45"/>
    <mergeCell ref="JPQ45:JPX45"/>
    <mergeCell ref="JCS45:JCZ45"/>
    <mergeCell ref="JCK45:JCR45"/>
    <mergeCell ref="JDI45:JDP45"/>
    <mergeCell ref="JDA45:JDH45"/>
    <mergeCell ref="JDY45:JEF45"/>
    <mergeCell ref="JDQ45:JDX45"/>
    <mergeCell ref="JEO45:JEV45"/>
    <mergeCell ref="JEG45:JEN45"/>
    <mergeCell ref="JGC45:JGJ45"/>
    <mergeCell ref="JGK45:JGR45"/>
    <mergeCell ref="JHA45:JHH45"/>
    <mergeCell ref="JGS45:JGZ45"/>
    <mergeCell ref="JFU45:JGB45"/>
    <mergeCell ref="JFM45:JFT45"/>
    <mergeCell ref="JFE45:JFL45"/>
    <mergeCell ref="JEW45:JFD45"/>
    <mergeCell ref="JJM45:JJT45"/>
    <mergeCell ref="JJE45:JJL45"/>
    <mergeCell ref="JIW45:JJD45"/>
    <mergeCell ref="JIO45:JIV45"/>
    <mergeCell ref="JHQ45:JHX45"/>
    <mergeCell ref="JHI45:JHP45"/>
    <mergeCell ref="JHY45:JIF45"/>
    <mergeCell ref="JIG45:JIN45"/>
    <mergeCell ref="IVI45:IVP45"/>
    <mergeCell ref="IVA45:IVH45"/>
    <mergeCell ref="IVY45:IWF45"/>
    <mergeCell ref="IVQ45:IVX45"/>
    <mergeCell ref="IWO45:IWV45"/>
    <mergeCell ref="IWG45:IWN45"/>
    <mergeCell ref="IXE45:IXL45"/>
    <mergeCell ref="IWW45:IXD45"/>
    <mergeCell ref="IYS45:IYZ45"/>
    <mergeCell ref="IZA45:IZH45"/>
    <mergeCell ref="IZQ45:IZX45"/>
    <mergeCell ref="IZI45:IZP45"/>
    <mergeCell ref="IYK45:IYR45"/>
    <mergeCell ref="IYC45:IYJ45"/>
    <mergeCell ref="IXU45:IYB45"/>
    <mergeCell ref="IXM45:IXT45"/>
    <mergeCell ref="JCC45:JCJ45"/>
    <mergeCell ref="JBU45:JCB45"/>
    <mergeCell ref="JBM45:JBT45"/>
    <mergeCell ref="JBE45:JBL45"/>
    <mergeCell ref="JAG45:JAN45"/>
    <mergeCell ref="IZY45:JAF45"/>
    <mergeCell ref="JAO45:JAV45"/>
    <mergeCell ref="JAW45:JBD45"/>
    <mergeCell ref="INY45:IOF45"/>
    <mergeCell ref="INQ45:INX45"/>
    <mergeCell ref="IOO45:IOV45"/>
    <mergeCell ref="IOG45:ION45"/>
    <mergeCell ref="IPE45:IPL45"/>
    <mergeCell ref="IOW45:IPD45"/>
    <mergeCell ref="IPU45:IQB45"/>
    <mergeCell ref="IPM45:IPT45"/>
    <mergeCell ref="IRI45:IRP45"/>
    <mergeCell ref="IRQ45:IRX45"/>
    <mergeCell ref="ISG45:ISN45"/>
    <mergeCell ref="IRY45:ISF45"/>
    <mergeCell ref="IRA45:IRH45"/>
    <mergeCell ref="IQS45:IQZ45"/>
    <mergeCell ref="IQK45:IQR45"/>
    <mergeCell ref="IQC45:IQJ45"/>
    <mergeCell ref="IUS45:IUZ45"/>
    <mergeCell ref="IUK45:IUR45"/>
    <mergeCell ref="IUC45:IUJ45"/>
    <mergeCell ref="ITU45:IUB45"/>
    <mergeCell ref="ISW45:ITD45"/>
    <mergeCell ref="ISO45:ISV45"/>
    <mergeCell ref="ITE45:ITL45"/>
    <mergeCell ref="ITM45:ITT45"/>
    <mergeCell ref="IGO45:IGV45"/>
    <mergeCell ref="IGG45:IGN45"/>
    <mergeCell ref="IHE45:IHL45"/>
    <mergeCell ref="IGW45:IHD45"/>
    <mergeCell ref="IHU45:IIB45"/>
    <mergeCell ref="IHM45:IHT45"/>
    <mergeCell ref="IIK45:IIR45"/>
    <mergeCell ref="IIC45:IIJ45"/>
    <mergeCell ref="IJY45:IKF45"/>
    <mergeCell ref="IKG45:IKN45"/>
    <mergeCell ref="IKW45:ILD45"/>
    <mergeCell ref="IKO45:IKV45"/>
    <mergeCell ref="IJQ45:IJX45"/>
    <mergeCell ref="IJI45:IJP45"/>
    <mergeCell ref="IJA45:IJH45"/>
    <mergeCell ref="IIS45:IIZ45"/>
    <mergeCell ref="INI45:INP45"/>
    <mergeCell ref="INA45:INH45"/>
    <mergeCell ref="IMS45:IMZ45"/>
    <mergeCell ref="IMK45:IMR45"/>
    <mergeCell ref="ILM45:ILT45"/>
    <mergeCell ref="ILE45:ILL45"/>
    <mergeCell ref="ILU45:IMB45"/>
    <mergeCell ref="IMC45:IMJ45"/>
    <mergeCell ref="HZE45:HZL45"/>
    <mergeCell ref="HYW45:HZD45"/>
    <mergeCell ref="HZU45:IAB45"/>
    <mergeCell ref="HZM45:HZT45"/>
    <mergeCell ref="IAK45:IAR45"/>
    <mergeCell ref="IAC45:IAJ45"/>
    <mergeCell ref="IBA45:IBH45"/>
    <mergeCell ref="IAS45:IAZ45"/>
    <mergeCell ref="ICO45:ICV45"/>
    <mergeCell ref="ICW45:IDD45"/>
    <mergeCell ref="IDM45:IDT45"/>
    <mergeCell ref="IDE45:IDL45"/>
    <mergeCell ref="ICG45:ICN45"/>
    <mergeCell ref="IBY45:ICF45"/>
    <mergeCell ref="IBQ45:IBX45"/>
    <mergeCell ref="IBI45:IBP45"/>
    <mergeCell ref="IFY45:IGF45"/>
    <mergeCell ref="IFQ45:IFX45"/>
    <mergeCell ref="IFI45:IFP45"/>
    <mergeCell ref="IFA45:IFH45"/>
    <mergeCell ref="IEC45:IEJ45"/>
    <mergeCell ref="IDU45:IEB45"/>
    <mergeCell ref="IEK45:IER45"/>
    <mergeCell ref="IES45:IEZ45"/>
    <mergeCell ref="HRU45:HSB45"/>
    <mergeCell ref="HRM45:HRT45"/>
    <mergeCell ref="HSK45:HSR45"/>
    <mergeCell ref="HSC45:HSJ45"/>
    <mergeCell ref="HTA45:HTH45"/>
    <mergeCell ref="HSS45:HSZ45"/>
    <mergeCell ref="HTQ45:HTX45"/>
    <mergeCell ref="HTI45:HTP45"/>
    <mergeCell ref="HVE45:HVL45"/>
    <mergeCell ref="HVM45:HVT45"/>
    <mergeCell ref="HWC45:HWJ45"/>
    <mergeCell ref="HVU45:HWB45"/>
    <mergeCell ref="HUW45:HVD45"/>
    <mergeCell ref="HUO45:HUV45"/>
    <mergeCell ref="HUG45:HUN45"/>
    <mergeCell ref="HTY45:HUF45"/>
    <mergeCell ref="HYO45:HYV45"/>
    <mergeCell ref="HYG45:HYN45"/>
    <mergeCell ref="HXY45:HYF45"/>
    <mergeCell ref="HXQ45:HXX45"/>
    <mergeCell ref="HWS45:HWZ45"/>
    <mergeCell ref="HWK45:HWR45"/>
    <mergeCell ref="HXA45:HXH45"/>
    <mergeCell ref="HXI45:HXP45"/>
    <mergeCell ref="HKK45:HKR45"/>
    <mergeCell ref="HKC45:HKJ45"/>
    <mergeCell ref="HLA45:HLH45"/>
    <mergeCell ref="HKS45:HKZ45"/>
    <mergeCell ref="HLQ45:HLX45"/>
    <mergeCell ref="HLI45:HLP45"/>
    <mergeCell ref="HMG45:HMN45"/>
    <mergeCell ref="HLY45:HMF45"/>
    <mergeCell ref="HNU45:HOB45"/>
    <mergeCell ref="HOC45:HOJ45"/>
    <mergeCell ref="HOS45:HOZ45"/>
    <mergeCell ref="HOK45:HOR45"/>
    <mergeCell ref="HNM45:HNT45"/>
    <mergeCell ref="HNE45:HNL45"/>
    <mergeCell ref="HMW45:HND45"/>
    <mergeCell ref="HMO45:HMV45"/>
    <mergeCell ref="HRE45:HRL45"/>
    <mergeCell ref="HQW45:HRD45"/>
    <mergeCell ref="HQO45:HQV45"/>
    <mergeCell ref="HQG45:HQN45"/>
    <mergeCell ref="HPI45:HPP45"/>
    <mergeCell ref="HPA45:HPH45"/>
    <mergeCell ref="HPQ45:HPX45"/>
    <mergeCell ref="HPY45:HQF45"/>
    <mergeCell ref="HDA45:HDH45"/>
    <mergeCell ref="HCS45:HCZ45"/>
    <mergeCell ref="HDQ45:HDX45"/>
    <mergeCell ref="HDI45:HDP45"/>
    <mergeCell ref="HEG45:HEN45"/>
    <mergeCell ref="HDY45:HEF45"/>
    <mergeCell ref="HEW45:HFD45"/>
    <mergeCell ref="HEO45:HEV45"/>
    <mergeCell ref="HGK45:HGR45"/>
    <mergeCell ref="HGS45:HGZ45"/>
    <mergeCell ref="HHI45:HHP45"/>
    <mergeCell ref="HHA45:HHH45"/>
    <mergeCell ref="HGC45:HGJ45"/>
    <mergeCell ref="HFU45:HGB45"/>
    <mergeCell ref="HFM45:HFT45"/>
    <mergeCell ref="HFE45:HFL45"/>
    <mergeCell ref="HJU45:HKB45"/>
    <mergeCell ref="HJM45:HJT45"/>
    <mergeCell ref="HJE45:HJL45"/>
    <mergeCell ref="HIW45:HJD45"/>
    <mergeCell ref="HHY45:HIF45"/>
    <mergeCell ref="HHQ45:HHX45"/>
    <mergeCell ref="HIG45:HIN45"/>
    <mergeCell ref="HIO45:HIV45"/>
    <mergeCell ref="GVQ45:GVX45"/>
    <mergeCell ref="GVI45:GVP45"/>
    <mergeCell ref="GWG45:GWN45"/>
    <mergeCell ref="GVY45:GWF45"/>
    <mergeCell ref="GWW45:GXD45"/>
    <mergeCell ref="GWO45:GWV45"/>
    <mergeCell ref="GXM45:GXT45"/>
    <mergeCell ref="GXE45:GXL45"/>
    <mergeCell ref="GZA45:GZH45"/>
    <mergeCell ref="GZI45:GZP45"/>
    <mergeCell ref="GZY45:HAF45"/>
    <mergeCell ref="GZQ45:GZX45"/>
    <mergeCell ref="GYS45:GYZ45"/>
    <mergeCell ref="GYK45:GYR45"/>
    <mergeCell ref="GYC45:GYJ45"/>
    <mergeCell ref="GXU45:GYB45"/>
    <mergeCell ref="HCK45:HCR45"/>
    <mergeCell ref="HCC45:HCJ45"/>
    <mergeCell ref="HBU45:HCB45"/>
    <mergeCell ref="HBM45:HBT45"/>
    <mergeCell ref="HAO45:HAV45"/>
    <mergeCell ref="HAG45:HAN45"/>
    <mergeCell ref="HAW45:HBD45"/>
    <mergeCell ref="HBE45:HBL45"/>
    <mergeCell ref="GOG45:GON45"/>
    <mergeCell ref="GNY45:GOF45"/>
    <mergeCell ref="GOW45:GPD45"/>
    <mergeCell ref="GOO45:GOV45"/>
    <mergeCell ref="GPM45:GPT45"/>
    <mergeCell ref="GPE45:GPL45"/>
    <mergeCell ref="GQC45:GQJ45"/>
    <mergeCell ref="GPU45:GQB45"/>
    <mergeCell ref="GRQ45:GRX45"/>
    <mergeCell ref="GRY45:GSF45"/>
    <mergeCell ref="GSO45:GSV45"/>
    <mergeCell ref="GSG45:GSN45"/>
    <mergeCell ref="GRI45:GRP45"/>
    <mergeCell ref="GRA45:GRH45"/>
    <mergeCell ref="GQS45:GQZ45"/>
    <mergeCell ref="GQK45:GQR45"/>
    <mergeCell ref="GVA45:GVH45"/>
    <mergeCell ref="GUS45:GUZ45"/>
    <mergeCell ref="GUK45:GUR45"/>
    <mergeCell ref="GUC45:GUJ45"/>
    <mergeCell ref="GTE45:GTL45"/>
    <mergeCell ref="GSW45:GTD45"/>
    <mergeCell ref="GTM45:GTT45"/>
    <mergeCell ref="GTU45:GUB45"/>
    <mergeCell ref="GGW45:GHD45"/>
    <mergeCell ref="GGO45:GGV45"/>
    <mergeCell ref="GHM45:GHT45"/>
    <mergeCell ref="GHE45:GHL45"/>
    <mergeCell ref="GIC45:GIJ45"/>
    <mergeCell ref="GHU45:GIB45"/>
    <mergeCell ref="GIS45:GIZ45"/>
    <mergeCell ref="GIK45:GIR45"/>
    <mergeCell ref="GKG45:GKN45"/>
    <mergeCell ref="GKO45:GKV45"/>
    <mergeCell ref="GLE45:GLL45"/>
    <mergeCell ref="GKW45:GLD45"/>
    <mergeCell ref="GJY45:GKF45"/>
    <mergeCell ref="GJQ45:GJX45"/>
    <mergeCell ref="GJI45:GJP45"/>
    <mergeCell ref="GJA45:GJH45"/>
    <mergeCell ref="GNQ45:GNX45"/>
    <mergeCell ref="GNI45:GNP45"/>
    <mergeCell ref="GNA45:GNH45"/>
    <mergeCell ref="GMS45:GMZ45"/>
    <mergeCell ref="GLU45:GMB45"/>
    <mergeCell ref="GLM45:GLT45"/>
    <mergeCell ref="GMC45:GMJ45"/>
    <mergeCell ref="GMK45:GMR45"/>
    <mergeCell ref="FZM45:FZT45"/>
    <mergeCell ref="FZE45:FZL45"/>
    <mergeCell ref="GAC45:GAJ45"/>
    <mergeCell ref="FZU45:GAB45"/>
    <mergeCell ref="GAS45:GAZ45"/>
    <mergeCell ref="GAK45:GAR45"/>
    <mergeCell ref="GBI45:GBP45"/>
    <mergeCell ref="GBA45:GBH45"/>
    <mergeCell ref="GCW45:GDD45"/>
    <mergeCell ref="GDE45:GDL45"/>
    <mergeCell ref="GDU45:GEB45"/>
    <mergeCell ref="GDM45:GDT45"/>
    <mergeCell ref="GCO45:GCV45"/>
    <mergeCell ref="GCG45:GCN45"/>
    <mergeCell ref="GBY45:GCF45"/>
    <mergeCell ref="GBQ45:GBX45"/>
    <mergeCell ref="GGG45:GGN45"/>
    <mergeCell ref="GFY45:GGF45"/>
    <mergeCell ref="GFQ45:GFX45"/>
    <mergeCell ref="GFI45:GFP45"/>
    <mergeCell ref="GEK45:GER45"/>
    <mergeCell ref="GEC45:GEJ45"/>
    <mergeCell ref="GES45:GEZ45"/>
    <mergeCell ref="GFA45:GFH45"/>
    <mergeCell ref="FSC45:FSJ45"/>
    <mergeCell ref="FRU45:FSB45"/>
    <mergeCell ref="FSS45:FSZ45"/>
    <mergeCell ref="FSK45:FSR45"/>
    <mergeCell ref="FTI45:FTP45"/>
    <mergeCell ref="FTA45:FTH45"/>
    <mergeCell ref="FTY45:FUF45"/>
    <mergeCell ref="FTQ45:FTX45"/>
    <mergeCell ref="FVM45:FVT45"/>
    <mergeCell ref="FVU45:FWB45"/>
    <mergeCell ref="FWK45:FWR45"/>
    <mergeCell ref="FWC45:FWJ45"/>
    <mergeCell ref="FVE45:FVL45"/>
    <mergeCell ref="FUW45:FVD45"/>
    <mergeCell ref="FUO45:FUV45"/>
    <mergeCell ref="FUG45:FUN45"/>
    <mergeCell ref="FYW45:FZD45"/>
    <mergeCell ref="FYO45:FYV45"/>
    <mergeCell ref="FYG45:FYN45"/>
    <mergeCell ref="FXY45:FYF45"/>
    <mergeCell ref="FXA45:FXH45"/>
    <mergeCell ref="FWS45:FWZ45"/>
    <mergeCell ref="FXI45:FXP45"/>
    <mergeCell ref="FXQ45:FXX45"/>
    <mergeCell ref="FKS45:FKZ45"/>
    <mergeCell ref="FKK45:FKR45"/>
    <mergeCell ref="FLI45:FLP45"/>
    <mergeCell ref="FLA45:FLH45"/>
    <mergeCell ref="FLY45:FMF45"/>
    <mergeCell ref="FLQ45:FLX45"/>
    <mergeCell ref="FMO45:FMV45"/>
    <mergeCell ref="FMG45:FMN45"/>
    <mergeCell ref="FOC45:FOJ45"/>
    <mergeCell ref="FOK45:FOR45"/>
    <mergeCell ref="FPA45:FPH45"/>
    <mergeCell ref="FOS45:FOZ45"/>
    <mergeCell ref="FNU45:FOB45"/>
    <mergeCell ref="FNM45:FNT45"/>
    <mergeCell ref="FNE45:FNL45"/>
    <mergeCell ref="FMW45:FND45"/>
    <mergeCell ref="FRM45:FRT45"/>
    <mergeCell ref="FRE45:FRL45"/>
    <mergeCell ref="FQW45:FRD45"/>
    <mergeCell ref="FQO45:FQV45"/>
    <mergeCell ref="FPQ45:FPX45"/>
    <mergeCell ref="FPI45:FPP45"/>
    <mergeCell ref="FPY45:FQF45"/>
    <mergeCell ref="FQG45:FQN45"/>
    <mergeCell ref="FDI45:FDP45"/>
    <mergeCell ref="FDA45:FDH45"/>
    <mergeCell ref="FDY45:FEF45"/>
    <mergeCell ref="FDQ45:FDX45"/>
    <mergeCell ref="FEO45:FEV45"/>
    <mergeCell ref="FEG45:FEN45"/>
    <mergeCell ref="FFE45:FFL45"/>
    <mergeCell ref="FEW45:FFD45"/>
    <mergeCell ref="FGS45:FGZ45"/>
    <mergeCell ref="FHA45:FHH45"/>
    <mergeCell ref="FHQ45:FHX45"/>
    <mergeCell ref="FHI45:FHP45"/>
    <mergeCell ref="FGK45:FGR45"/>
    <mergeCell ref="FGC45:FGJ45"/>
    <mergeCell ref="FFU45:FGB45"/>
    <mergeCell ref="FFM45:FFT45"/>
    <mergeCell ref="FKC45:FKJ45"/>
    <mergeCell ref="FJU45:FKB45"/>
    <mergeCell ref="FJM45:FJT45"/>
    <mergeCell ref="FJE45:FJL45"/>
    <mergeCell ref="FIG45:FIN45"/>
    <mergeCell ref="FHY45:FIF45"/>
    <mergeCell ref="FIO45:FIV45"/>
    <mergeCell ref="FIW45:FJD45"/>
    <mergeCell ref="EVY45:EWF45"/>
    <mergeCell ref="EVQ45:EVX45"/>
    <mergeCell ref="EWO45:EWV45"/>
    <mergeCell ref="EWG45:EWN45"/>
    <mergeCell ref="EXE45:EXL45"/>
    <mergeCell ref="EWW45:EXD45"/>
    <mergeCell ref="EXU45:EYB45"/>
    <mergeCell ref="EXM45:EXT45"/>
    <mergeCell ref="EZI45:EZP45"/>
    <mergeCell ref="EZQ45:EZX45"/>
    <mergeCell ref="FAG45:FAN45"/>
    <mergeCell ref="EZY45:FAF45"/>
    <mergeCell ref="EZA45:EZH45"/>
    <mergeCell ref="EYS45:EYZ45"/>
    <mergeCell ref="EYK45:EYR45"/>
    <mergeCell ref="EYC45:EYJ45"/>
    <mergeCell ref="FCS45:FCZ45"/>
    <mergeCell ref="FCK45:FCR45"/>
    <mergeCell ref="FCC45:FCJ45"/>
    <mergeCell ref="FBU45:FCB45"/>
    <mergeCell ref="FAW45:FBD45"/>
    <mergeCell ref="FAO45:FAV45"/>
    <mergeCell ref="FBE45:FBL45"/>
    <mergeCell ref="FBM45:FBT45"/>
    <mergeCell ref="EOO45:EOV45"/>
    <mergeCell ref="EOG45:EON45"/>
    <mergeCell ref="EPE45:EPL45"/>
    <mergeCell ref="EOW45:EPD45"/>
    <mergeCell ref="EPU45:EQB45"/>
    <mergeCell ref="EPM45:EPT45"/>
    <mergeCell ref="EQK45:EQR45"/>
    <mergeCell ref="EQC45:EQJ45"/>
    <mergeCell ref="ERY45:ESF45"/>
    <mergeCell ref="ESG45:ESN45"/>
    <mergeCell ref="ESW45:ETD45"/>
    <mergeCell ref="ESO45:ESV45"/>
    <mergeCell ref="ERQ45:ERX45"/>
    <mergeCell ref="ERI45:ERP45"/>
    <mergeCell ref="ERA45:ERH45"/>
    <mergeCell ref="EQS45:EQZ45"/>
    <mergeCell ref="EVI45:EVP45"/>
    <mergeCell ref="EVA45:EVH45"/>
    <mergeCell ref="EUS45:EUZ45"/>
    <mergeCell ref="EUK45:EUR45"/>
    <mergeCell ref="ETM45:ETT45"/>
    <mergeCell ref="ETE45:ETL45"/>
    <mergeCell ref="ETU45:EUB45"/>
    <mergeCell ref="EUC45:EUJ45"/>
    <mergeCell ref="EHE45:EHL45"/>
    <mergeCell ref="EGW45:EHD45"/>
    <mergeCell ref="EHU45:EIB45"/>
    <mergeCell ref="EHM45:EHT45"/>
    <mergeCell ref="EIK45:EIR45"/>
    <mergeCell ref="EIC45:EIJ45"/>
    <mergeCell ref="EJA45:EJH45"/>
    <mergeCell ref="EIS45:EIZ45"/>
    <mergeCell ref="EKO45:EKV45"/>
    <mergeCell ref="EKW45:ELD45"/>
    <mergeCell ref="ELM45:ELT45"/>
    <mergeCell ref="ELE45:ELL45"/>
    <mergeCell ref="EKG45:EKN45"/>
    <mergeCell ref="EJY45:EKF45"/>
    <mergeCell ref="EJQ45:EJX45"/>
    <mergeCell ref="EJI45:EJP45"/>
    <mergeCell ref="ENY45:EOF45"/>
    <mergeCell ref="ENQ45:ENX45"/>
    <mergeCell ref="ENI45:ENP45"/>
    <mergeCell ref="ENA45:ENH45"/>
    <mergeCell ref="EMC45:EMJ45"/>
    <mergeCell ref="ELU45:EMB45"/>
    <mergeCell ref="EMK45:EMR45"/>
    <mergeCell ref="EMS45:EMZ45"/>
    <mergeCell ref="DZU45:EAB45"/>
    <mergeCell ref="DZM45:DZT45"/>
    <mergeCell ref="EAK45:EAR45"/>
    <mergeCell ref="EAC45:EAJ45"/>
    <mergeCell ref="EBA45:EBH45"/>
    <mergeCell ref="EAS45:EAZ45"/>
    <mergeCell ref="EBQ45:EBX45"/>
    <mergeCell ref="EBI45:EBP45"/>
    <mergeCell ref="EDE45:EDL45"/>
    <mergeCell ref="EDM45:EDT45"/>
    <mergeCell ref="EEC45:EEJ45"/>
    <mergeCell ref="EDU45:EEB45"/>
    <mergeCell ref="ECW45:EDD45"/>
    <mergeCell ref="ECO45:ECV45"/>
    <mergeCell ref="ECG45:ECN45"/>
    <mergeCell ref="EBY45:ECF45"/>
    <mergeCell ref="EGO45:EGV45"/>
    <mergeCell ref="EGG45:EGN45"/>
    <mergeCell ref="EFY45:EGF45"/>
    <mergeCell ref="EFQ45:EFX45"/>
    <mergeCell ref="EES45:EEZ45"/>
    <mergeCell ref="EEK45:EER45"/>
    <mergeCell ref="EFA45:EFH45"/>
    <mergeCell ref="EFI45:EFP45"/>
    <mergeCell ref="DSK45:DSR45"/>
    <mergeCell ref="DSC45:DSJ45"/>
    <mergeCell ref="DTA45:DTH45"/>
    <mergeCell ref="DSS45:DSZ45"/>
    <mergeCell ref="DTQ45:DTX45"/>
    <mergeCell ref="DTI45:DTP45"/>
    <mergeCell ref="DUG45:DUN45"/>
    <mergeCell ref="DTY45:DUF45"/>
    <mergeCell ref="DVU45:DWB45"/>
    <mergeCell ref="DWC45:DWJ45"/>
    <mergeCell ref="DWS45:DWZ45"/>
    <mergeCell ref="DWK45:DWR45"/>
    <mergeCell ref="DVM45:DVT45"/>
    <mergeCell ref="DVE45:DVL45"/>
    <mergeCell ref="DUW45:DVD45"/>
    <mergeCell ref="DUO45:DUV45"/>
    <mergeCell ref="DZE45:DZL45"/>
    <mergeCell ref="DYW45:DZD45"/>
    <mergeCell ref="DYO45:DYV45"/>
    <mergeCell ref="DYG45:DYN45"/>
    <mergeCell ref="DXI45:DXP45"/>
    <mergeCell ref="DXA45:DXH45"/>
    <mergeCell ref="DXQ45:DXX45"/>
    <mergeCell ref="DXY45:DYF45"/>
    <mergeCell ref="DLA45:DLH45"/>
    <mergeCell ref="DKS45:DKZ45"/>
    <mergeCell ref="DLQ45:DLX45"/>
    <mergeCell ref="DLI45:DLP45"/>
    <mergeCell ref="DMG45:DMN45"/>
    <mergeCell ref="DLY45:DMF45"/>
    <mergeCell ref="DMW45:DND45"/>
    <mergeCell ref="DMO45:DMV45"/>
    <mergeCell ref="DOK45:DOR45"/>
    <mergeCell ref="DOS45:DOZ45"/>
    <mergeCell ref="DPI45:DPP45"/>
    <mergeCell ref="DPA45:DPH45"/>
    <mergeCell ref="DOC45:DOJ45"/>
    <mergeCell ref="DNU45:DOB45"/>
    <mergeCell ref="DNM45:DNT45"/>
    <mergeCell ref="DNE45:DNL45"/>
    <mergeCell ref="DRU45:DSB45"/>
    <mergeCell ref="DRM45:DRT45"/>
    <mergeCell ref="DRE45:DRL45"/>
    <mergeCell ref="DQW45:DRD45"/>
    <mergeCell ref="DPY45:DQF45"/>
    <mergeCell ref="DPQ45:DPX45"/>
    <mergeCell ref="DQG45:DQN45"/>
    <mergeCell ref="DQO45:DQV45"/>
    <mergeCell ref="DDQ45:DDX45"/>
    <mergeCell ref="DDI45:DDP45"/>
    <mergeCell ref="DEG45:DEN45"/>
    <mergeCell ref="DDY45:DEF45"/>
    <mergeCell ref="DEW45:DFD45"/>
    <mergeCell ref="DEO45:DEV45"/>
    <mergeCell ref="DFM45:DFT45"/>
    <mergeCell ref="DFE45:DFL45"/>
    <mergeCell ref="DHA45:DHH45"/>
    <mergeCell ref="DHI45:DHP45"/>
    <mergeCell ref="DHY45:DIF45"/>
    <mergeCell ref="DHQ45:DHX45"/>
    <mergeCell ref="DGS45:DGZ45"/>
    <mergeCell ref="DGK45:DGR45"/>
    <mergeCell ref="DGC45:DGJ45"/>
    <mergeCell ref="DFU45:DGB45"/>
    <mergeCell ref="DKK45:DKR45"/>
    <mergeCell ref="DKC45:DKJ45"/>
    <mergeCell ref="DJU45:DKB45"/>
    <mergeCell ref="DJM45:DJT45"/>
    <mergeCell ref="DIO45:DIV45"/>
    <mergeCell ref="DIG45:DIN45"/>
    <mergeCell ref="DIW45:DJD45"/>
    <mergeCell ref="DJE45:DJL45"/>
    <mergeCell ref="CWG45:CWN45"/>
    <mergeCell ref="CVY45:CWF45"/>
    <mergeCell ref="CWW45:CXD45"/>
    <mergeCell ref="CWO45:CWV45"/>
    <mergeCell ref="CXM45:CXT45"/>
    <mergeCell ref="CXE45:CXL45"/>
    <mergeCell ref="CYC45:CYJ45"/>
    <mergeCell ref="CXU45:CYB45"/>
    <mergeCell ref="CZQ45:CZX45"/>
    <mergeCell ref="CZY45:DAF45"/>
    <mergeCell ref="DAO45:DAV45"/>
    <mergeCell ref="DAG45:DAN45"/>
    <mergeCell ref="CZI45:CZP45"/>
    <mergeCell ref="CZA45:CZH45"/>
    <mergeCell ref="CYS45:CYZ45"/>
    <mergeCell ref="CYK45:CYR45"/>
    <mergeCell ref="DDA45:DDH45"/>
    <mergeCell ref="DCS45:DCZ45"/>
    <mergeCell ref="DCK45:DCR45"/>
    <mergeCell ref="DCC45:DCJ45"/>
    <mergeCell ref="DBE45:DBL45"/>
    <mergeCell ref="DAW45:DBD45"/>
    <mergeCell ref="DBM45:DBT45"/>
    <mergeCell ref="DBU45:DCB45"/>
    <mergeCell ref="COW45:CPD45"/>
    <mergeCell ref="COO45:COV45"/>
    <mergeCell ref="CPM45:CPT45"/>
    <mergeCell ref="CPE45:CPL45"/>
    <mergeCell ref="CQC45:CQJ45"/>
    <mergeCell ref="CPU45:CQB45"/>
    <mergeCell ref="CQS45:CQZ45"/>
    <mergeCell ref="CQK45:CQR45"/>
    <mergeCell ref="CSG45:CSN45"/>
    <mergeCell ref="CSO45:CSV45"/>
    <mergeCell ref="CTE45:CTL45"/>
    <mergeCell ref="CSW45:CTD45"/>
    <mergeCell ref="CRY45:CSF45"/>
    <mergeCell ref="CRQ45:CRX45"/>
    <mergeCell ref="CRI45:CRP45"/>
    <mergeCell ref="CRA45:CRH45"/>
    <mergeCell ref="CVQ45:CVX45"/>
    <mergeCell ref="CVI45:CVP45"/>
    <mergeCell ref="CVA45:CVH45"/>
    <mergeCell ref="CUS45:CUZ45"/>
    <mergeCell ref="CTU45:CUB45"/>
    <mergeCell ref="CTM45:CTT45"/>
    <mergeCell ref="CUC45:CUJ45"/>
    <mergeCell ref="CUK45:CUR45"/>
    <mergeCell ref="CHM45:CHT45"/>
    <mergeCell ref="CHE45:CHL45"/>
    <mergeCell ref="CIC45:CIJ45"/>
    <mergeCell ref="CHU45:CIB45"/>
    <mergeCell ref="CIS45:CIZ45"/>
    <mergeCell ref="CIK45:CIR45"/>
    <mergeCell ref="CJI45:CJP45"/>
    <mergeCell ref="CJA45:CJH45"/>
    <mergeCell ref="CKW45:CLD45"/>
    <mergeCell ref="CLE45:CLL45"/>
    <mergeCell ref="CLU45:CMB45"/>
    <mergeCell ref="CLM45:CLT45"/>
    <mergeCell ref="CKO45:CKV45"/>
    <mergeCell ref="CKG45:CKN45"/>
    <mergeCell ref="CJY45:CKF45"/>
    <mergeCell ref="CJQ45:CJX45"/>
    <mergeCell ref="COG45:CON45"/>
    <mergeCell ref="CNY45:COF45"/>
    <mergeCell ref="CNQ45:CNX45"/>
    <mergeCell ref="CNI45:CNP45"/>
    <mergeCell ref="CMK45:CMR45"/>
    <mergeCell ref="CMC45:CMJ45"/>
    <mergeCell ref="CMS45:CMZ45"/>
    <mergeCell ref="CNA45:CNH45"/>
    <mergeCell ref="CAC45:CAJ45"/>
    <mergeCell ref="BZU45:CAB45"/>
    <mergeCell ref="CAS45:CAZ45"/>
    <mergeCell ref="CAK45:CAR45"/>
    <mergeCell ref="CBI45:CBP45"/>
    <mergeCell ref="CBA45:CBH45"/>
    <mergeCell ref="CBY45:CCF45"/>
    <mergeCell ref="CBQ45:CBX45"/>
    <mergeCell ref="CDM45:CDT45"/>
    <mergeCell ref="CDU45:CEB45"/>
    <mergeCell ref="CEK45:CER45"/>
    <mergeCell ref="CEC45:CEJ45"/>
    <mergeCell ref="CDE45:CDL45"/>
    <mergeCell ref="CCW45:CDD45"/>
    <mergeCell ref="CCO45:CCV45"/>
    <mergeCell ref="CCG45:CCN45"/>
    <mergeCell ref="CGW45:CHD45"/>
    <mergeCell ref="CGO45:CGV45"/>
    <mergeCell ref="CGG45:CGN45"/>
    <mergeCell ref="CFY45:CGF45"/>
    <mergeCell ref="CFA45:CFH45"/>
    <mergeCell ref="CES45:CEZ45"/>
    <mergeCell ref="CFI45:CFP45"/>
    <mergeCell ref="CFQ45:CFX45"/>
    <mergeCell ref="BSS45:BSZ45"/>
    <mergeCell ref="BSK45:BSR45"/>
    <mergeCell ref="BTI45:BTP45"/>
    <mergeCell ref="BTA45:BTH45"/>
    <mergeCell ref="BTY45:BUF45"/>
    <mergeCell ref="BTQ45:BTX45"/>
    <mergeCell ref="BUO45:BUV45"/>
    <mergeCell ref="BUG45:BUN45"/>
    <mergeCell ref="BWC45:BWJ45"/>
    <mergeCell ref="BWK45:BWR45"/>
    <mergeCell ref="BXA45:BXH45"/>
    <mergeCell ref="BWS45:BWZ45"/>
    <mergeCell ref="BVU45:BWB45"/>
    <mergeCell ref="BVM45:BVT45"/>
    <mergeCell ref="BVE45:BVL45"/>
    <mergeCell ref="BUW45:BVD45"/>
    <mergeCell ref="BZM45:BZT45"/>
    <mergeCell ref="BZE45:BZL45"/>
    <mergeCell ref="BYW45:BZD45"/>
    <mergeCell ref="BYO45:BYV45"/>
    <mergeCell ref="BXQ45:BXX45"/>
    <mergeCell ref="BXI45:BXP45"/>
    <mergeCell ref="BXY45:BYF45"/>
    <mergeCell ref="BYG45:BYN45"/>
    <mergeCell ref="BLI45:BLP45"/>
    <mergeCell ref="BLA45:BLH45"/>
    <mergeCell ref="BLY45:BMF45"/>
    <mergeCell ref="BLQ45:BLX45"/>
    <mergeCell ref="BMO45:BMV45"/>
    <mergeCell ref="BMG45:BMN45"/>
    <mergeCell ref="BNE45:BNL45"/>
    <mergeCell ref="BMW45:BND45"/>
    <mergeCell ref="BOS45:BOZ45"/>
    <mergeCell ref="BPA45:BPH45"/>
    <mergeCell ref="BPQ45:BPX45"/>
    <mergeCell ref="BPI45:BPP45"/>
    <mergeCell ref="BOK45:BOR45"/>
    <mergeCell ref="BOC45:BOJ45"/>
    <mergeCell ref="BNU45:BOB45"/>
    <mergeCell ref="BNM45:BNT45"/>
    <mergeCell ref="BSC45:BSJ45"/>
    <mergeCell ref="BRU45:BSB45"/>
    <mergeCell ref="BRM45:BRT45"/>
    <mergeCell ref="BRE45:BRL45"/>
    <mergeCell ref="BQG45:BQN45"/>
    <mergeCell ref="BPY45:BQF45"/>
    <mergeCell ref="BQO45:BQV45"/>
    <mergeCell ref="BQW45:BRD45"/>
    <mergeCell ref="BDY45:BEF45"/>
    <mergeCell ref="BDQ45:BDX45"/>
    <mergeCell ref="BEO45:BEV45"/>
    <mergeCell ref="BEG45:BEN45"/>
    <mergeCell ref="BFE45:BFL45"/>
    <mergeCell ref="BEW45:BFD45"/>
    <mergeCell ref="BFU45:BGB45"/>
    <mergeCell ref="BFM45:BFT45"/>
    <mergeCell ref="BHI45:BHP45"/>
    <mergeCell ref="BHQ45:BHX45"/>
    <mergeCell ref="BIG45:BIN45"/>
    <mergeCell ref="BHY45:BIF45"/>
    <mergeCell ref="BHA45:BHH45"/>
    <mergeCell ref="BGS45:BGZ45"/>
    <mergeCell ref="BGK45:BGR45"/>
    <mergeCell ref="BGC45:BGJ45"/>
    <mergeCell ref="BKS45:BKZ45"/>
    <mergeCell ref="BKK45:BKR45"/>
    <mergeCell ref="BKC45:BKJ45"/>
    <mergeCell ref="BJU45:BKB45"/>
    <mergeCell ref="BIW45:BJD45"/>
    <mergeCell ref="BIO45:BIV45"/>
    <mergeCell ref="BJE45:BJL45"/>
    <mergeCell ref="BJM45:BJT45"/>
    <mergeCell ref="AWO45:AWV45"/>
    <mergeCell ref="AWG45:AWN45"/>
    <mergeCell ref="AXE45:AXL45"/>
    <mergeCell ref="AWW45:AXD45"/>
    <mergeCell ref="AXU45:AYB45"/>
    <mergeCell ref="AXM45:AXT45"/>
    <mergeCell ref="AYK45:AYR45"/>
    <mergeCell ref="AYC45:AYJ45"/>
    <mergeCell ref="AZY45:BAF45"/>
    <mergeCell ref="BAG45:BAN45"/>
    <mergeCell ref="BAW45:BBD45"/>
    <mergeCell ref="BAO45:BAV45"/>
    <mergeCell ref="AZQ45:AZX45"/>
    <mergeCell ref="AZI45:AZP45"/>
    <mergeCell ref="AZA45:AZH45"/>
    <mergeCell ref="AYS45:AYZ45"/>
    <mergeCell ref="BDI45:BDP45"/>
    <mergeCell ref="BDA45:BDH45"/>
    <mergeCell ref="BCS45:BCZ45"/>
    <mergeCell ref="BCK45:BCR45"/>
    <mergeCell ref="BBM45:BBT45"/>
    <mergeCell ref="BBE45:BBL45"/>
    <mergeCell ref="BBU45:BCB45"/>
    <mergeCell ref="BCC45:BCJ45"/>
    <mergeCell ref="APE45:APL45"/>
    <mergeCell ref="AOW45:APD45"/>
    <mergeCell ref="APU45:AQB45"/>
    <mergeCell ref="APM45:APT45"/>
    <mergeCell ref="AQK45:AQR45"/>
    <mergeCell ref="AQC45:AQJ45"/>
    <mergeCell ref="ARA45:ARH45"/>
    <mergeCell ref="AQS45:AQZ45"/>
    <mergeCell ref="ASO45:ASV45"/>
    <mergeCell ref="ASW45:ATD45"/>
    <mergeCell ref="ATM45:ATT45"/>
    <mergeCell ref="ATE45:ATL45"/>
    <mergeCell ref="ASG45:ASN45"/>
    <mergeCell ref="ARY45:ASF45"/>
    <mergeCell ref="ARQ45:ARX45"/>
    <mergeCell ref="ARI45:ARP45"/>
    <mergeCell ref="AVY45:AWF45"/>
    <mergeCell ref="AVQ45:AVX45"/>
    <mergeCell ref="AVI45:AVP45"/>
    <mergeCell ref="AVA45:AVH45"/>
    <mergeCell ref="AUC45:AUJ45"/>
    <mergeCell ref="ATU45:AUB45"/>
    <mergeCell ref="AUK45:AUR45"/>
    <mergeCell ref="AUS45:AUZ45"/>
    <mergeCell ref="AHU45:AIB45"/>
    <mergeCell ref="AHM45:AHT45"/>
    <mergeCell ref="AIK45:AIR45"/>
    <mergeCell ref="AIC45:AIJ45"/>
    <mergeCell ref="AJA45:AJH45"/>
    <mergeCell ref="AIS45:AIZ45"/>
    <mergeCell ref="AJQ45:AJX45"/>
    <mergeCell ref="AJI45:AJP45"/>
    <mergeCell ref="ALE45:ALL45"/>
    <mergeCell ref="ALM45:ALT45"/>
    <mergeCell ref="AMC45:AMJ45"/>
    <mergeCell ref="ALU45:AMB45"/>
    <mergeCell ref="AKW45:ALD45"/>
    <mergeCell ref="AKO45:AKV45"/>
    <mergeCell ref="AKG45:AKN45"/>
    <mergeCell ref="AJY45:AKF45"/>
    <mergeCell ref="AOO45:AOV45"/>
    <mergeCell ref="AOG45:AON45"/>
    <mergeCell ref="ANY45:AOF45"/>
    <mergeCell ref="ANQ45:ANX45"/>
    <mergeCell ref="AMS45:AMZ45"/>
    <mergeCell ref="AMK45:AMR45"/>
    <mergeCell ref="ANA45:ANH45"/>
    <mergeCell ref="ANI45:ANP45"/>
    <mergeCell ref="AAK45:AAR45"/>
    <mergeCell ref="AAC45:AAJ45"/>
    <mergeCell ref="ABA45:ABH45"/>
    <mergeCell ref="AAS45:AAZ45"/>
    <mergeCell ref="ABQ45:ABX45"/>
    <mergeCell ref="ABI45:ABP45"/>
    <mergeCell ref="ACG45:ACN45"/>
    <mergeCell ref="ABY45:ACF45"/>
    <mergeCell ref="ADU45:AEB45"/>
    <mergeCell ref="AEC45:AEJ45"/>
    <mergeCell ref="AES45:AEZ45"/>
    <mergeCell ref="AEK45:AER45"/>
    <mergeCell ref="ADM45:ADT45"/>
    <mergeCell ref="ADE45:ADL45"/>
    <mergeCell ref="ACW45:ADD45"/>
    <mergeCell ref="ACO45:ACV45"/>
    <mergeCell ref="AHE45:AHL45"/>
    <mergeCell ref="AGW45:AHD45"/>
    <mergeCell ref="AGO45:AGV45"/>
    <mergeCell ref="AGG45:AGN45"/>
    <mergeCell ref="AFI45:AFP45"/>
    <mergeCell ref="AFA45:AFH45"/>
    <mergeCell ref="AFQ45:AFX45"/>
    <mergeCell ref="AFY45:AGF45"/>
    <mergeCell ref="TA45:TH45"/>
    <mergeCell ref="SS45:SZ45"/>
    <mergeCell ref="TQ45:TX45"/>
    <mergeCell ref="TI45:TP45"/>
    <mergeCell ref="UG45:UN45"/>
    <mergeCell ref="TY45:UF45"/>
    <mergeCell ref="UW45:VD45"/>
    <mergeCell ref="UO45:UV45"/>
    <mergeCell ref="WK45:WR45"/>
    <mergeCell ref="WS45:WZ45"/>
    <mergeCell ref="XI45:XP45"/>
    <mergeCell ref="XA45:XH45"/>
    <mergeCell ref="WC45:WJ45"/>
    <mergeCell ref="VU45:WB45"/>
    <mergeCell ref="VM45:VT45"/>
    <mergeCell ref="VE45:VL45"/>
    <mergeCell ref="ZU45:AAB45"/>
    <mergeCell ref="ZM45:ZT45"/>
    <mergeCell ref="ZE45:ZL45"/>
    <mergeCell ref="YW45:ZD45"/>
    <mergeCell ref="XY45:YF45"/>
    <mergeCell ref="XQ45:XX45"/>
    <mergeCell ref="YG45:YN45"/>
    <mergeCell ref="YO45:YV45"/>
    <mergeCell ref="LQ45:LX45"/>
    <mergeCell ref="LI45:LP45"/>
    <mergeCell ref="MG45:MN45"/>
    <mergeCell ref="LY45:MF45"/>
    <mergeCell ref="MW45:ND45"/>
    <mergeCell ref="MO45:MV45"/>
    <mergeCell ref="NM45:NT45"/>
    <mergeCell ref="NE45:NL45"/>
    <mergeCell ref="PA45:PH45"/>
    <mergeCell ref="PI45:PP45"/>
    <mergeCell ref="PY45:QF45"/>
    <mergeCell ref="PQ45:PX45"/>
    <mergeCell ref="OS45:OZ45"/>
    <mergeCell ref="OK45:OR45"/>
    <mergeCell ref="OC45:OJ45"/>
    <mergeCell ref="NU45:OB45"/>
    <mergeCell ref="SK45:SR45"/>
    <mergeCell ref="SC45:SJ45"/>
    <mergeCell ref="RU45:SB45"/>
    <mergeCell ref="RM45:RT45"/>
    <mergeCell ref="QO45:QV45"/>
    <mergeCell ref="QG45:QN45"/>
    <mergeCell ref="QW45:RD45"/>
    <mergeCell ref="RE45:RL45"/>
    <mergeCell ref="EG45:EN45"/>
    <mergeCell ref="DY45:EF45"/>
    <mergeCell ref="EW45:FD45"/>
    <mergeCell ref="EO45:EV45"/>
    <mergeCell ref="FM45:FT45"/>
    <mergeCell ref="FE45:FL45"/>
    <mergeCell ref="GC45:GJ45"/>
    <mergeCell ref="FU45:GB45"/>
    <mergeCell ref="HQ45:HX45"/>
    <mergeCell ref="HY45:IF45"/>
    <mergeCell ref="IO45:IV45"/>
    <mergeCell ref="IG45:IN45"/>
    <mergeCell ref="HI45:HP45"/>
    <mergeCell ref="HA45:HH45"/>
    <mergeCell ref="GS45:GZ45"/>
    <mergeCell ref="GK45:GR45"/>
    <mergeCell ref="LA45:LH45"/>
    <mergeCell ref="KS45:KZ45"/>
    <mergeCell ref="KK45:KR45"/>
    <mergeCell ref="KC45:KJ45"/>
    <mergeCell ref="JE45:JL45"/>
    <mergeCell ref="IW45:JD45"/>
    <mergeCell ref="JM45:JT45"/>
    <mergeCell ref="JU45:KB45"/>
    <mergeCell ref="AG45:AN45"/>
    <mergeCell ref="AO45:AV45"/>
    <mergeCell ref="BE45:BL45"/>
    <mergeCell ref="AW45:BD45"/>
    <mergeCell ref="Y45:AF45"/>
    <mergeCell ref="Q45:X45"/>
    <mergeCell ref="I45:P45"/>
    <mergeCell ref="A37:H37"/>
    <mergeCell ref="A38:H38"/>
    <mergeCell ref="A39:H39"/>
    <mergeCell ref="A40:H40"/>
    <mergeCell ref="A44:H44"/>
    <mergeCell ref="A43:H43"/>
    <mergeCell ref="A42:H42"/>
    <mergeCell ref="A41:H41"/>
    <mergeCell ref="A45:H45"/>
    <mergeCell ref="DQ45:DX45"/>
    <mergeCell ref="DI45:DP45"/>
    <mergeCell ref="DA45:DH45"/>
    <mergeCell ref="CS45:CZ45"/>
    <mergeCell ref="BU45:CB45"/>
    <mergeCell ref="BM45:BT45"/>
    <mergeCell ref="CC45:CJ45"/>
    <mergeCell ref="CK45:CR4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1"/>
  <sheetViews>
    <sheetView showGridLines="0" showRuler="0" workbookViewId="0">
      <selection activeCell="B5" sqref="B5:G5"/>
    </sheetView>
  </sheetViews>
  <sheetFormatPr baseColWidth="10" defaultColWidth="12.83203125" defaultRowHeight="13"/>
  <cols>
    <col min="1" max="1" width="55.1640625" customWidth="1"/>
    <col min="2" max="2" width="16.6640625" customWidth="1"/>
    <col min="3" max="3" width="16.1640625" customWidth="1"/>
    <col min="4" max="8" width="14.33203125" customWidth="1"/>
    <col min="9" max="10" width="0" hidden="1"/>
  </cols>
  <sheetData>
    <row r="1" spans="1:10" ht="21.75" customHeight="1">
      <c r="A1" s="134" t="s">
        <v>1194</v>
      </c>
      <c r="B1" s="134"/>
      <c r="C1" s="134"/>
      <c r="D1" s="134"/>
      <c r="E1" s="134"/>
      <c r="F1" s="134"/>
      <c r="G1" s="134"/>
      <c r="I1" s="134"/>
      <c r="J1" s="134"/>
    </row>
    <row r="2" spans="1:10" ht="21.75" customHeight="1"/>
    <row r="3" spans="1:10" ht="21.75" customHeight="1">
      <c r="A3" s="134" t="s">
        <v>1195</v>
      </c>
      <c r="B3" s="135">
        <v>2023</v>
      </c>
      <c r="C3" s="135">
        <v>2022</v>
      </c>
      <c r="D3" s="135">
        <v>2021</v>
      </c>
      <c r="E3" s="135">
        <v>2020</v>
      </c>
      <c r="F3" s="135">
        <v>2019</v>
      </c>
      <c r="G3" s="135">
        <v>2018</v>
      </c>
      <c r="I3" s="135">
        <v>2015</v>
      </c>
      <c r="J3" s="135">
        <v>2014</v>
      </c>
    </row>
    <row r="4" spans="1:10" ht="21.75" customHeight="1">
      <c r="A4" s="21" t="s">
        <v>1196</v>
      </c>
      <c r="B4" s="145">
        <v>18</v>
      </c>
      <c r="C4" s="35">
        <v>17</v>
      </c>
      <c r="D4" s="35">
        <v>26</v>
      </c>
      <c r="E4" s="35">
        <v>29</v>
      </c>
      <c r="F4" s="35">
        <v>35</v>
      </c>
      <c r="G4" s="392">
        <v>42</v>
      </c>
      <c r="I4" s="281">
        <v>52</v>
      </c>
      <c r="J4" s="281">
        <v>81</v>
      </c>
    </row>
    <row r="5" spans="1:10" ht="21.75" customHeight="1">
      <c r="A5" s="25" t="s">
        <v>1197</v>
      </c>
      <c r="B5" s="645">
        <f>B4/Safety!C34*1000000</f>
        <v>0.35484318338511101</v>
      </c>
      <c r="C5" s="646">
        <f>C4/Safety!D34*1000000</f>
        <v>0.32755308294819091</v>
      </c>
      <c r="D5" s="646">
        <f>D4/Safety!E34*1000000</f>
        <v>0.5349042731198177</v>
      </c>
      <c r="E5" s="646">
        <f>E4/Safety!F34*1000000</f>
        <v>0.65074441683168838</v>
      </c>
      <c r="F5" s="646">
        <v>0.73838438037715204</v>
      </c>
      <c r="G5" s="646">
        <v>0.77491747843808301</v>
      </c>
      <c r="I5" s="393">
        <v>1.01564662216442</v>
      </c>
      <c r="J5" s="393">
        <v>1.6377918901519599</v>
      </c>
    </row>
    <row r="6" spans="1:10" ht="31.75" customHeight="1">
      <c r="A6" s="763" t="s">
        <v>1198</v>
      </c>
      <c r="B6" s="763"/>
      <c r="C6" s="763"/>
      <c r="D6" s="763"/>
      <c r="E6" s="763"/>
      <c r="F6" s="763"/>
      <c r="G6" s="763"/>
      <c r="I6" s="394"/>
      <c r="J6" s="394"/>
    </row>
    <row r="7" spans="1:10" ht="12.5" customHeight="1">
      <c r="A7" s="31" t="s">
        <v>1199</v>
      </c>
      <c r="B7" s="31"/>
    </row>
    <row r="8" spans="1:10" ht="12.5" customHeight="1">
      <c r="A8" s="31"/>
      <c r="B8" s="31"/>
      <c r="C8" s="31"/>
    </row>
    <row r="9" spans="1:10" ht="16.75" customHeight="1">
      <c r="A9" s="134" t="s">
        <v>1200</v>
      </c>
      <c r="B9" s="135">
        <v>2023</v>
      </c>
      <c r="C9" s="135">
        <v>2022</v>
      </c>
      <c r="D9" s="135">
        <v>2021</v>
      </c>
      <c r="E9" s="135">
        <v>2020</v>
      </c>
      <c r="F9" s="135">
        <v>2019</v>
      </c>
      <c r="G9" s="43"/>
    </row>
    <row r="10" spans="1:10" ht="19.25" customHeight="1">
      <c r="A10" s="21" t="s">
        <v>1196</v>
      </c>
      <c r="B10" s="145">
        <v>29</v>
      </c>
      <c r="C10" s="35">
        <v>27</v>
      </c>
      <c r="D10" s="35">
        <v>34</v>
      </c>
      <c r="E10" s="35">
        <v>54</v>
      </c>
      <c r="F10" s="35">
        <v>52</v>
      </c>
      <c r="G10" s="43"/>
    </row>
    <row r="11" spans="1:10" ht="20" customHeight="1">
      <c r="A11" s="25" t="s">
        <v>1197</v>
      </c>
      <c r="B11" s="244" t="s">
        <v>1619</v>
      </c>
      <c r="C11" s="250" t="s">
        <v>1620</v>
      </c>
      <c r="D11" s="250" t="s">
        <v>1621</v>
      </c>
      <c r="E11" s="250" t="s">
        <v>1622</v>
      </c>
      <c r="F11" s="250" t="s">
        <v>1623</v>
      </c>
    </row>
    <row r="12" spans="1:10" ht="24" customHeight="1">
      <c r="A12" s="763" t="s">
        <v>1618</v>
      </c>
      <c r="B12" s="763"/>
      <c r="C12" s="763"/>
      <c r="D12" s="763"/>
      <c r="E12" s="763"/>
      <c r="F12" s="763"/>
      <c r="G12" s="685"/>
    </row>
    <row r="13" spans="1:10" ht="21.75" customHeight="1"/>
    <row r="14" spans="1:10" ht="21.75" customHeight="1">
      <c r="A14" s="134" t="s">
        <v>1201</v>
      </c>
      <c r="B14" s="135">
        <v>2023</v>
      </c>
      <c r="C14" s="135">
        <v>2022</v>
      </c>
      <c r="D14" s="135">
        <v>2021</v>
      </c>
      <c r="E14" s="135">
        <v>2020</v>
      </c>
      <c r="F14" s="135">
        <v>2019</v>
      </c>
      <c r="G14" s="135">
        <v>2018</v>
      </c>
      <c r="I14" s="135">
        <v>2015</v>
      </c>
      <c r="J14" s="135">
        <v>2014</v>
      </c>
    </row>
    <row r="15" spans="1:10" ht="21.75" customHeight="1">
      <c r="A15" s="21" t="s">
        <v>589</v>
      </c>
      <c r="B15" s="35">
        <v>0</v>
      </c>
      <c r="C15" s="35">
        <v>0</v>
      </c>
      <c r="D15" s="35">
        <v>0</v>
      </c>
      <c r="E15" s="35">
        <v>0</v>
      </c>
      <c r="F15" s="35">
        <v>0</v>
      </c>
      <c r="G15" s="35">
        <v>0</v>
      </c>
      <c r="I15" s="281">
        <v>0</v>
      </c>
      <c r="J15" s="281">
        <v>0</v>
      </c>
    </row>
    <row r="16" spans="1:10" ht="21.75" customHeight="1">
      <c r="A16" s="21" t="s">
        <v>645</v>
      </c>
      <c r="B16" s="35">
        <v>0</v>
      </c>
      <c r="C16" s="35">
        <v>0</v>
      </c>
      <c r="D16" s="35">
        <v>0</v>
      </c>
      <c r="E16" s="35">
        <v>0</v>
      </c>
      <c r="F16" s="35">
        <v>1</v>
      </c>
      <c r="G16" s="35">
        <v>0</v>
      </c>
      <c r="I16" s="281">
        <v>0</v>
      </c>
      <c r="J16" s="281">
        <v>0</v>
      </c>
    </row>
    <row r="17" spans="1:10" ht="21.75" customHeight="1">
      <c r="A17" s="21" t="s">
        <v>640</v>
      </c>
      <c r="B17" s="35">
        <v>0</v>
      </c>
      <c r="C17" s="35">
        <v>0</v>
      </c>
      <c r="D17" s="35">
        <v>0</v>
      </c>
      <c r="E17" s="35">
        <v>0</v>
      </c>
      <c r="F17" s="35">
        <v>0</v>
      </c>
      <c r="G17" s="35">
        <v>0</v>
      </c>
      <c r="I17" s="281">
        <v>0</v>
      </c>
      <c r="J17" s="281">
        <v>0</v>
      </c>
    </row>
    <row r="18" spans="1:10" ht="21.75" customHeight="1">
      <c r="A18" s="25" t="s">
        <v>590</v>
      </c>
      <c r="B18" s="36">
        <v>0</v>
      </c>
      <c r="C18" s="36">
        <v>2</v>
      </c>
      <c r="D18" s="36">
        <v>1</v>
      </c>
      <c r="E18" s="36">
        <v>3</v>
      </c>
      <c r="F18" s="36">
        <v>3</v>
      </c>
      <c r="G18" s="36">
        <v>3</v>
      </c>
      <c r="I18" s="395">
        <v>1</v>
      </c>
      <c r="J18" s="395">
        <v>4</v>
      </c>
    </row>
    <row r="19" spans="1:10" ht="21.75" customHeight="1">
      <c r="A19" s="45" t="s">
        <v>1202</v>
      </c>
      <c r="B19" s="254">
        <v>0</v>
      </c>
      <c r="C19" s="254">
        <f>SUM(C15:C18)</f>
        <v>2</v>
      </c>
      <c r="D19" s="254">
        <f>SUM(D15:D18)</f>
        <v>1</v>
      </c>
      <c r="E19" s="254">
        <f>+SUM(E15:E18)</f>
        <v>3</v>
      </c>
      <c r="F19" s="254">
        <f>+SUM(F15:F18)</f>
        <v>4</v>
      </c>
      <c r="G19" s="254">
        <f>+SUM(G15:G18)</f>
        <v>3</v>
      </c>
      <c r="I19" s="396">
        <f>+SUM(I15:I18)</f>
        <v>1</v>
      </c>
      <c r="J19" s="396">
        <f>+SUM(J15:J18)</f>
        <v>4</v>
      </c>
    </row>
    <row r="20" spans="1:10" ht="21.75" customHeight="1">
      <c r="A20" s="19"/>
      <c r="B20" s="131"/>
      <c r="C20" s="131"/>
      <c r="D20" s="131"/>
      <c r="E20" s="131"/>
      <c r="F20" s="237"/>
      <c r="G20" s="131"/>
      <c r="I20" s="19"/>
      <c r="J20" s="19"/>
    </row>
    <row r="21" spans="1:10" ht="21.75" customHeight="1">
      <c r="A21" s="134" t="s">
        <v>1203</v>
      </c>
      <c r="B21" s="135">
        <v>2023</v>
      </c>
      <c r="C21" s="135">
        <v>2022</v>
      </c>
      <c r="D21" s="135">
        <v>2021</v>
      </c>
      <c r="E21" s="135">
        <v>2020</v>
      </c>
      <c r="F21" s="135">
        <v>2019</v>
      </c>
      <c r="G21" s="135">
        <v>2018</v>
      </c>
      <c r="I21" s="135">
        <v>2015</v>
      </c>
      <c r="J21" s="135">
        <v>2014</v>
      </c>
    </row>
    <row r="22" spans="1:10" ht="21.75" customHeight="1">
      <c r="A22" s="21" t="s">
        <v>589</v>
      </c>
      <c r="B22" s="35">
        <v>2</v>
      </c>
      <c r="C22" s="35">
        <v>0</v>
      </c>
      <c r="D22" s="35">
        <v>0</v>
      </c>
      <c r="E22" s="35">
        <v>0</v>
      </c>
      <c r="F22" s="35">
        <v>0</v>
      </c>
      <c r="G22" s="35">
        <v>0</v>
      </c>
      <c r="I22" s="281">
        <v>0</v>
      </c>
      <c r="J22" s="281">
        <v>0</v>
      </c>
    </row>
    <row r="23" spans="1:10" ht="21.75" customHeight="1">
      <c r="A23" s="21" t="s">
        <v>645</v>
      </c>
      <c r="B23" s="35">
        <v>0</v>
      </c>
      <c r="C23" s="35">
        <v>0</v>
      </c>
      <c r="D23" s="35">
        <v>0</v>
      </c>
      <c r="E23" s="35">
        <v>0</v>
      </c>
      <c r="F23" s="35">
        <v>0</v>
      </c>
      <c r="G23" s="35">
        <v>9</v>
      </c>
      <c r="I23" s="281">
        <v>2</v>
      </c>
      <c r="J23" s="281">
        <v>5</v>
      </c>
    </row>
    <row r="24" spans="1:10" ht="21.75" customHeight="1">
      <c r="A24" s="21" t="s">
        <v>640</v>
      </c>
      <c r="B24" s="35">
        <v>0</v>
      </c>
      <c r="C24" s="35">
        <v>0</v>
      </c>
      <c r="D24" s="35">
        <v>0</v>
      </c>
      <c r="E24" s="35">
        <v>0</v>
      </c>
      <c r="F24" s="35">
        <v>0</v>
      </c>
      <c r="G24" s="35">
        <v>0</v>
      </c>
      <c r="I24" s="281">
        <v>0</v>
      </c>
      <c r="J24" s="281">
        <v>0</v>
      </c>
    </row>
    <row r="25" spans="1:10" ht="21.75" customHeight="1">
      <c r="A25" s="25" t="s">
        <v>590</v>
      </c>
      <c r="B25" s="36">
        <v>6</v>
      </c>
      <c r="C25" s="36">
        <v>4</v>
      </c>
      <c r="D25" s="36">
        <v>5</v>
      </c>
      <c r="E25" s="36">
        <v>3</v>
      </c>
      <c r="F25" s="36">
        <v>6</v>
      </c>
      <c r="G25" s="36">
        <v>4</v>
      </c>
      <c r="I25" s="395">
        <v>4</v>
      </c>
      <c r="J25" s="395">
        <v>8</v>
      </c>
    </row>
    <row r="26" spans="1:10" ht="21.75" customHeight="1">
      <c r="A26" s="45" t="s">
        <v>1202</v>
      </c>
      <c r="B26" s="254">
        <f t="shared" ref="B26:G26" si="0">SUM(B22:B25)</f>
        <v>8</v>
      </c>
      <c r="C26" s="254">
        <f t="shared" si="0"/>
        <v>4</v>
      </c>
      <c r="D26" s="254">
        <f t="shared" si="0"/>
        <v>5</v>
      </c>
      <c r="E26" s="254">
        <f t="shared" si="0"/>
        <v>3</v>
      </c>
      <c r="F26" s="254">
        <f t="shared" si="0"/>
        <v>6</v>
      </c>
      <c r="G26" s="254">
        <f t="shared" si="0"/>
        <v>13</v>
      </c>
      <c r="I26" s="396">
        <f>SUM(I22:I25)</f>
        <v>6</v>
      </c>
      <c r="J26" s="396">
        <f>SUM(J22:J25)</f>
        <v>13</v>
      </c>
    </row>
    <row r="27" spans="1:10" ht="21.75" customHeight="1">
      <c r="A27" s="19"/>
      <c r="B27" s="131"/>
      <c r="C27" s="131"/>
      <c r="D27" s="131"/>
      <c r="E27" s="131"/>
      <c r="F27" s="237"/>
      <c r="G27" s="131"/>
      <c r="I27" s="19"/>
      <c r="J27" s="19"/>
    </row>
    <row r="28" spans="1:10" ht="21.75" customHeight="1">
      <c r="A28" s="134" t="s">
        <v>1204</v>
      </c>
      <c r="B28" s="135">
        <v>2023</v>
      </c>
      <c r="C28" s="135">
        <v>2022</v>
      </c>
      <c r="D28" s="135">
        <v>2021</v>
      </c>
      <c r="E28" s="135">
        <v>2020</v>
      </c>
      <c r="F28" s="135">
        <v>2019</v>
      </c>
      <c r="G28" s="135">
        <v>2018</v>
      </c>
      <c r="I28" s="135">
        <v>2015</v>
      </c>
      <c r="J28" s="135">
        <v>2014</v>
      </c>
    </row>
    <row r="29" spans="1:10" ht="21.75" customHeight="1">
      <c r="A29" s="21" t="s">
        <v>589</v>
      </c>
      <c r="B29" s="35">
        <v>0</v>
      </c>
      <c r="C29" s="35">
        <v>0</v>
      </c>
      <c r="D29" s="35">
        <v>0</v>
      </c>
      <c r="E29" s="35">
        <v>0</v>
      </c>
      <c r="F29" s="35">
        <v>0</v>
      </c>
      <c r="G29" s="35">
        <v>0</v>
      </c>
      <c r="I29" s="281">
        <v>0</v>
      </c>
      <c r="J29" s="281">
        <v>0</v>
      </c>
    </row>
    <row r="30" spans="1:10" ht="21.75" customHeight="1">
      <c r="A30" s="21" t="s">
        <v>645</v>
      </c>
      <c r="B30" s="35">
        <v>0</v>
      </c>
      <c r="C30" s="35">
        <v>0</v>
      </c>
      <c r="D30" s="35">
        <v>0</v>
      </c>
      <c r="E30" s="35">
        <v>0</v>
      </c>
      <c r="F30" s="35">
        <v>0</v>
      </c>
      <c r="G30" s="35">
        <v>2</v>
      </c>
      <c r="I30" s="281">
        <v>0</v>
      </c>
      <c r="J30" s="281">
        <v>1</v>
      </c>
    </row>
    <row r="31" spans="1:10" ht="21.75" customHeight="1">
      <c r="A31" s="21" t="s">
        <v>640</v>
      </c>
      <c r="B31" s="35">
        <v>0</v>
      </c>
      <c r="C31" s="35">
        <v>0</v>
      </c>
      <c r="D31" s="35">
        <v>0</v>
      </c>
      <c r="E31" s="35">
        <v>0</v>
      </c>
      <c r="F31" s="35">
        <v>0</v>
      </c>
      <c r="G31" s="35">
        <v>0</v>
      </c>
      <c r="I31" s="281">
        <v>0</v>
      </c>
      <c r="J31" s="281">
        <v>0</v>
      </c>
    </row>
    <row r="32" spans="1:10" ht="21.75" customHeight="1">
      <c r="A32" s="25" t="s">
        <v>590</v>
      </c>
      <c r="B32" s="36">
        <v>2</v>
      </c>
      <c r="C32" s="36">
        <v>2</v>
      </c>
      <c r="D32" s="36">
        <v>12</v>
      </c>
      <c r="E32" s="36">
        <v>10</v>
      </c>
      <c r="F32" s="36">
        <v>5</v>
      </c>
      <c r="G32" s="36">
        <v>8</v>
      </c>
      <c r="I32" s="395">
        <v>9</v>
      </c>
      <c r="J32" s="395">
        <v>14</v>
      </c>
    </row>
    <row r="33" spans="1:10" ht="21.75" customHeight="1">
      <c r="A33" s="45" t="s">
        <v>1202</v>
      </c>
      <c r="B33" s="254">
        <v>2</v>
      </c>
      <c r="C33" s="254">
        <f>SUM(C29:C32)</f>
        <v>2</v>
      </c>
      <c r="D33" s="254">
        <f>SUM(D29:D32)</f>
        <v>12</v>
      </c>
      <c r="E33" s="254">
        <f>SUM(E29:E32)</f>
        <v>10</v>
      </c>
      <c r="F33" s="254">
        <f>SUM(F29:F32)</f>
        <v>5</v>
      </c>
      <c r="G33" s="254">
        <f>SUM(G29:G32)</f>
        <v>10</v>
      </c>
      <c r="I33" s="396">
        <f>SUM(I29:I32)</f>
        <v>9</v>
      </c>
      <c r="J33" s="396">
        <f>SUM(J29:J32)</f>
        <v>15</v>
      </c>
    </row>
    <row r="34" spans="1:10" ht="21.75" customHeight="1">
      <c r="A34" s="19"/>
      <c r="B34" s="131"/>
      <c r="C34" s="131"/>
      <c r="D34" s="131"/>
      <c r="E34" s="131"/>
      <c r="F34" s="237"/>
      <c r="G34" s="131"/>
      <c r="I34" s="19"/>
      <c r="J34" s="19"/>
    </row>
    <row r="35" spans="1:10" ht="21.75" customHeight="1">
      <c r="A35" s="134" t="s">
        <v>1205</v>
      </c>
      <c r="B35" s="135">
        <v>2023</v>
      </c>
      <c r="C35" s="135">
        <v>2022</v>
      </c>
      <c r="D35" s="135">
        <v>2021</v>
      </c>
      <c r="E35" s="135">
        <v>2020</v>
      </c>
      <c r="F35" s="135">
        <v>2019</v>
      </c>
      <c r="G35" s="135">
        <v>2018</v>
      </c>
      <c r="I35" s="135">
        <v>2015</v>
      </c>
      <c r="J35" s="135">
        <v>2014</v>
      </c>
    </row>
    <row r="36" spans="1:10" ht="21.75" customHeight="1">
      <c r="A36" s="21" t="s">
        <v>589</v>
      </c>
      <c r="B36" s="35">
        <v>0</v>
      </c>
      <c r="C36" s="35">
        <v>0</v>
      </c>
      <c r="D36" s="35">
        <v>0</v>
      </c>
      <c r="E36" s="35">
        <v>0</v>
      </c>
      <c r="F36" s="35">
        <v>0</v>
      </c>
      <c r="G36" s="35">
        <v>0</v>
      </c>
      <c r="I36" s="281">
        <v>0</v>
      </c>
      <c r="J36" s="281">
        <v>0</v>
      </c>
    </row>
    <row r="37" spans="1:10" ht="21.75" customHeight="1">
      <c r="A37" s="21" t="s">
        <v>645</v>
      </c>
      <c r="B37" s="35">
        <v>0</v>
      </c>
      <c r="C37" s="35">
        <v>0</v>
      </c>
      <c r="D37" s="35">
        <v>0</v>
      </c>
      <c r="E37" s="35">
        <v>0</v>
      </c>
      <c r="F37" s="35">
        <v>0</v>
      </c>
      <c r="G37" s="35">
        <v>1</v>
      </c>
      <c r="I37" s="281">
        <v>0</v>
      </c>
      <c r="J37" s="281">
        <v>1</v>
      </c>
    </row>
    <row r="38" spans="1:10" ht="21.75" customHeight="1">
      <c r="A38" s="21" t="s">
        <v>640</v>
      </c>
      <c r="B38" s="35">
        <v>0</v>
      </c>
      <c r="C38" s="35">
        <v>0</v>
      </c>
      <c r="D38" s="35">
        <v>0</v>
      </c>
      <c r="E38" s="35">
        <v>0</v>
      </c>
      <c r="F38" s="35">
        <v>0</v>
      </c>
      <c r="G38" s="35">
        <v>0</v>
      </c>
      <c r="I38" s="281">
        <v>0</v>
      </c>
      <c r="J38" s="281">
        <v>0</v>
      </c>
    </row>
    <row r="39" spans="1:10" ht="21.75" customHeight="1">
      <c r="A39" s="25" t="s">
        <v>590</v>
      </c>
      <c r="B39" s="36">
        <v>8</v>
      </c>
      <c r="C39" s="36">
        <v>9</v>
      </c>
      <c r="D39" s="36">
        <v>8</v>
      </c>
      <c r="E39" s="36">
        <v>13</v>
      </c>
      <c r="F39" s="36">
        <v>20</v>
      </c>
      <c r="G39" s="36">
        <v>16</v>
      </c>
      <c r="I39" s="395">
        <v>36</v>
      </c>
      <c r="J39" s="395">
        <v>49</v>
      </c>
    </row>
    <row r="40" spans="1:10" ht="21.75" customHeight="1">
      <c r="A40" s="45" t="s">
        <v>1202</v>
      </c>
      <c r="B40" s="254">
        <v>8</v>
      </c>
      <c r="C40" s="254">
        <f>SUM(C36:C39)</f>
        <v>9</v>
      </c>
      <c r="D40" s="254">
        <f>SUM(D36:D39)</f>
        <v>8</v>
      </c>
      <c r="E40" s="254">
        <f>SUM(E36:E39)</f>
        <v>13</v>
      </c>
      <c r="F40" s="254">
        <f>SUM(F36:F39)</f>
        <v>20</v>
      </c>
      <c r="G40" s="254">
        <f>SUM(G36:G39)</f>
        <v>17</v>
      </c>
      <c r="I40" s="396">
        <f>SUM(I36:I39)</f>
        <v>36</v>
      </c>
      <c r="J40" s="396">
        <f>SUM(J36:J39)</f>
        <v>50</v>
      </c>
    </row>
    <row r="41" spans="1:10" ht="21.75" customHeight="1">
      <c r="A41" s="19"/>
      <c r="B41" s="19"/>
      <c r="C41" s="19"/>
      <c r="D41" s="19"/>
      <c r="E41" s="19"/>
      <c r="F41" s="19"/>
      <c r="G41" s="19"/>
      <c r="I41" s="19"/>
      <c r="J41" s="19"/>
    </row>
    <row r="42" spans="1:10" ht="21.75" customHeight="1"/>
    <row r="43" spans="1:10" ht="26.75" customHeight="1">
      <c r="A43" s="134" t="s">
        <v>1206</v>
      </c>
      <c r="B43" s="135">
        <v>2023</v>
      </c>
      <c r="C43" s="135">
        <v>2022</v>
      </c>
      <c r="D43" s="135">
        <v>2021</v>
      </c>
      <c r="E43" s="135">
        <v>2020</v>
      </c>
      <c r="F43" s="135">
        <v>2019</v>
      </c>
      <c r="G43" s="135">
        <v>2018</v>
      </c>
      <c r="I43" s="135">
        <v>2015</v>
      </c>
      <c r="J43" s="135">
        <v>2014</v>
      </c>
    </row>
    <row r="44" spans="1:10" ht="21.75" customHeight="1">
      <c r="A44" s="21" t="s">
        <v>1201</v>
      </c>
      <c r="B44" s="256">
        <f>B19/B48*1000</f>
        <v>0</v>
      </c>
      <c r="C44" s="206">
        <f>C19/C48*1000</f>
        <v>0.4098360655737705</v>
      </c>
      <c r="D44" s="206">
        <f>D19/D48*1000</f>
        <v>0.22172949002217296</v>
      </c>
      <c r="E44" s="206">
        <f>E19/E48*1000</f>
        <v>0.74497144276136085</v>
      </c>
      <c r="F44" s="116">
        <v>0.75</v>
      </c>
      <c r="G44" s="116">
        <v>0.65</v>
      </c>
      <c r="I44" s="116">
        <v>0.17</v>
      </c>
      <c r="J44" s="116">
        <v>0.76</v>
      </c>
    </row>
    <row r="45" spans="1:10" ht="21.75" customHeight="1">
      <c r="A45" s="21" t="s">
        <v>1203</v>
      </c>
      <c r="B45" s="256">
        <f>B26/B48*1000</f>
        <v>1.5515903801396431</v>
      </c>
      <c r="C45" s="206">
        <f>C26/C48*1000</f>
        <v>0.81967213114754101</v>
      </c>
      <c r="D45" s="206">
        <f>D26/D48*1000</f>
        <v>1.1086474501108647</v>
      </c>
      <c r="E45" s="206">
        <f>E26/E48*1000</f>
        <v>0.74497144276136085</v>
      </c>
      <c r="F45" s="116">
        <v>1.51</v>
      </c>
      <c r="G45" s="116">
        <v>0.86</v>
      </c>
      <c r="I45" s="116">
        <v>0.68</v>
      </c>
      <c r="J45" s="116">
        <v>1.52</v>
      </c>
    </row>
    <row r="46" spans="1:10" ht="21.75" customHeight="1">
      <c r="A46" s="21" t="s">
        <v>1204</v>
      </c>
      <c r="B46" s="256">
        <f>B33/B48*1000</f>
        <v>0.38789759503491078</v>
      </c>
      <c r="C46" s="206">
        <f>C33/C48*1000</f>
        <v>0.4098360655737705</v>
      </c>
      <c r="D46" s="206">
        <f>D33/D48*1000</f>
        <v>2.6607538802660753</v>
      </c>
      <c r="E46" s="206">
        <f>E33/E48*1000</f>
        <v>2.4832381425378696</v>
      </c>
      <c r="F46" s="116">
        <v>1.26</v>
      </c>
      <c r="G46" s="116">
        <v>1.72</v>
      </c>
      <c r="I46" s="116">
        <v>1.54</v>
      </c>
      <c r="J46" s="116">
        <v>2.67</v>
      </c>
    </row>
    <row r="47" spans="1:10" ht="21.75" customHeight="1">
      <c r="A47" s="21" t="s">
        <v>1207</v>
      </c>
      <c r="B47" s="256">
        <f>B40/B48*1000</f>
        <v>1.5515903801396431</v>
      </c>
      <c r="C47" s="206">
        <f>C40/C48*1000</f>
        <v>1.8442622950819674</v>
      </c>
      <c r="D47" s="206">
        <f>D40/D48*1000</f>
        <v>1.7738359201773837</v>
      </c>
      <c r="E47" s="206">
        <f>E40/E48*1000</f>
        <v>3.2282095852992301</v>
      </c>
      <c r="F47" s="116">
        <v>5.0199999999999996</v>
      </c>
      <c r="G47" s="116">
        <v>3.23</v>
      </c>
      <c r="I47" s="116">
        <v>6.16</v>
      </c>
      <c r="J47" s="116">
        <v>9.15</v>
      </c>
    </row>
    <row r="48" spans="1:10" ht="21.75" customHeight="1">
      <c r="A48" s="155" t="s">
        <v>1208</v>
      </c>
      <c r="B48" s="233">
        <v>5156</v>
      </c>
      <c r="C48" s="210">
        <v>4880</v>
      </c>
      <c r="D48" s="210">
        <v>4510</v>
      </c>
      <c r="E48" s="210">
        <v>4027</v>
      </c>
      <c r="F48" s="210">
        <v>3984</v>
      </c>
      <c r="G48" s="210">
        <v>4643</v>
      </c>
      <c r="I48" s="210">
        <v>5837</v>
      </c>
      <c r="J48" s="210">
        <v>5246</v>
      </c>
    </row>
    <row r="49" spans="1:10" ht="21.75" customHeight="1">
      <c r="A49" s="30" t="s">
        <v>1209</v>
      </c>
      <c r="B49" s="30"/>
      <c r="C49" s="30"/>
      <c r="D49" s="30"/>
      <c r="E49" s="30"/>
      <c r="F49" s="30"/>
      <c r="G49" s="30"/>
      <c r="I49" s="30"/>
      <c r="J49" s="30"/>
    </row>
    <row r="50" spans="1:10" ht="21.75" customHeight="1">
      <c r="A50" s="51" t="s">
        <v>1210</v>
      </c>
    </row>
    <row r="51" spans="1:10" ht="21.75" customHeight="1">
      <c r="A51" s="51" t="s">
        <v>1211</v>
      </c>
    </row>
  </sheetData>
  <sheetProtection algorithmName="SHA-512" hashValue="7aT79RgJjNVCdhtxU2z4YkvbgODropBpossWob4gBiI0xtLP05zrXAuLTYiYngBhgl2+IKxWOUG5YDiBSYObgQ==" saltValue="PcJzyFkdibNMcqdhUFVaEA==" spinCount="100000" sheet="1" objects="1" scenarios="1"/>
  <mergeCells count="2">
    <mergeCell ref="A6:G6"/>
    <mergeCell ref="A12:G12"/>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107"/>
  <sheetViews>
    <sheetView showGridLines="0" showRuler="0" topLeftCell="A25" workbookViewId="0">
      <selection activeCell="F67" sqref="F67"/>
    </sheetView>
  </sheetViews>
  <sheetFormatPr baseColWidth="10" defaultColWidth="12.83203125" defaultRowHeight="13"/>
  <cols>
    <col min="1" max="1" width="55.1640625" customWidth="1"/>
    <col min="2" max="16" width="14.33203125" customWidth="1"/>
  </cols>
  <sheetData>
    <row r="1" spans="1:16" ht="21.75" customHeight="1">
      <c r="A1" s="134" t="s">
        <v>1212</v>
      </c>
      <c r="B1" s="365"/>
      <c r="C1" s="365"/>
      <c r="D1" s="365"/>
      <c r="E1" s="365"/>
      <c r="F1" s="365"/>
      <c r="G1" s="365"/>
      <c r="H1" s="365"/>
      <c r="I1" s="365"/>
      <c r="J1" s="365"/>
    </row>
    <row r="2" spans="1:16" ht="21.75" customHeight="1">
      <c r="A2" s="106"/>
      <c r="B2" s="43"/>
      <c r="C2" s="43"/>
      <c r="D2" s="43"/>
      <c r="E2" s="43"/>
      <c r="F2" s="43"/>
      <c r="G2" s="43"/>
      <c r="H2" s="43"/>
      <c r="I2" s="43"/>
      <c r="J2" s="43"/>
      <c r="K2" s="43"/>
      <c r="L2" s="43"/>
      <c r="M2" s="43"/>
      <c r="N2" s="43"/>
      <c r="O2" s="43"/>
      <c r="P2" s="43"/>
    </row>
    <row r="3" spans="1:16" ht="21.75" customHeight="1">
      <c r="A3" s="134" t="s">
        <v>1213</v>
      </c>
      <c r="B3" s="365"/>
      <c r="C3" s="365"/>
      <c r="D3" s="365"/>
      <c r="E3" s="365"/>
      <c r="F3" s="365"/>
      <c r="G3" s="365"/>
      <c r="H3" s="365"/>
      <c r="I3" s="365"/>
      <c r="J3" s="365"/>
    </row>
    <row r="4" spans="1:16" ht="21.75" customHeight="1">
      <c r="A4" s="134" t="s">
        <v>1214</v>
      </c>
      <c r="B4" s="365"/>
      <c r="C4" s="365"/>
      <c r="D4" s="365"/>
      <c r="E4" s="365"/>
      <c r="F4" s="365"/>
      <c r="G4" s="365"/>
      <c r="H4" s="365"/>
      <c r="I4" s="365"/>
      <c r="J4" s="365"/>
    </row>
    <row r="5" spans="1:16" ht="66.75" customHeight="1">
      <c r="A5" s="134" t="s">
        <v>1215</v>
      </c>
      <c r="B5" s="177" t="s">
        <v>1216</v>
      </c>
      <c r="C5" s="177" t="s">
        <v>1217</v>
      </c>
      <c r="D5" s="177" t="s">
        <v>1166</v>
      </c>
      <c r="E5" s="177" t="s">
        <v>1218</v>
      </c>
      <c r="F5" s="177" t="s">
        <v>1219</v>
      </c>
      <c r="G5" s="177" t="s">
        <v>1220</v>
      </c>
      <c r="H5" s="177" t="s">
        <v>1221</v>
      </c>
      <c r="I5" s="177" t="s">
        <v>1222</v>
      </c>
      <c r="J5" s="177" t="s">
        <v>1223</v>
      </c>
    </row>
    <row r="6" spans="1:16" ht="21.75" customHeight="1">
      <c r="A6" s="21" t="s">
        <v>589</v>
      </c>
      <c r="B6" s="20">
        <v>3774</v>
      </c>
      <c r="C6" s="20">
        <v>1879</v>
      </c>
      <c r="D6" s="20">
        <v>1895</v>
      </c>
      <c r="E6" s="20">
        <v>510</v>
      </c>
      <c r="F6" s="20">
        <v>364</v>
      </c>
      <c r="G6" s="20">
        <v>146</v>
      </c>
      <c r="H6" s="20">
        <v>1418</v>
      </c>
      <c r="I6" s="228">
        <v>0.76</v>
      </c>
      <c r="J6" s="267">
        <f t="shared" ref="J6:J11" si="0">D6/B6</f>
        <v>0.50211976682564918</v>
      </c>
    </row>
    <row r="7" spans="1:16" ht="21.75" customHeight="1">
      <c r="A7" s="21" t="s">
        <v>590</v>
      </c>
      <c r="B7" s="20">
        <v>5156</v>
      </c>
      <c r="C7" s="20">
        <v>2582</v>
      </c>
      <c r="D7" s="20">
        <v>2574</v>
      </c>
      <c r="E7" s="20">
        <v>3231</v>
      </c>
      <c r="F7" s="20">
        <v>1684</v>
      </c>
      <c r="G7" s="20">
        <v>1547</v>
      </c>
      <c r="H7" s="20">
        <v>2280</v>
      </c>
      <c r="I7" s="228">
        <v>0.88300000000000001</v>
      </c>
      <c r="J7" s="267">
        <f t="shared" si="0"/>
        <v>0.49922420480993018</v>
      </c>
    </row>
    <row r="8" spans="1:16" ht="21.75" customHeight="1">
      <c r="A8" s="21" t="s">
        <v>1224</v>
      </c>
      <c r="B8" s="20">
        <v>125</v>
      </c>
      <c r="C8" s="20">
        <v>124</v>
      </c>
      <c r="D8" s="20">
        <v>1</v>
      </c>
      <c r="E8" s="20">
        <f>+F8+G8</f>
        <v>0</v>
      </c>
      <c r="F8" s="20">
        <v>0</v>
      </c>
      <c r="G8" s="20">
        <v>0</v>
      </c>
      <c r="H8" s="20">
        <v>84</v>
      </c>
      <c r="I8" s="228">
        <v>0.6774</v>
      </c>
      <c r="J8" s="267">
        <f t="shared" si="0"/>
        <v>8.0000000000000002E-3</v>
      </c>
    </row>
    <row r="9" spans="1:16" ht="21.75" customHeight="1">
      <c r="A9" s="21" t="s">
        <v>645</v>
      </c>
      <c r="B9" s="20">
        <v>6604</v>
      </c>
      <c r="C9" s="20">
        <v>823</v>
      </c>
      <c r="D9" s="20">
        <v>5781</v>
      </c>
      <c r="E9" s="20">
        <v>4167</v>
      </c>
      <c r="F9" s="20">
        <v>370</v>
      </c>
      <c r="G9" s="20">
        <v>4167</v>
      </c>
      <c r="H9" s="20">
        <v>819</v>
      </c>
      <c r="I9" s="228">
        <v>0.99509999999999998</v>
      </c>
      <c r="J9" s="267">
        <f t="shared" si="0"/>
        <v>0.87537855844942458</v>
      </c>
    </row>
    <row r="10" spans="1:16" ht="21.75" customHeight="1">
      <c r="A10" s="21" t="s">
        <v>594</v>
      </c>
      <c r="B10" s="20">
        <v>2096</v>
      </c>
      <c r="C10" s="20">
        <v>418</v>
      </c>
      <c r="D10" s="20">
        <v>1678</v>
      </c>
      <c r="E10" s="20">
        <f>+F10+G10</f>
        <v>556</v>
      </c>
      <c r="F10" s="20">
        <v>73</v>
      </c>
      <c r="G10" s="20">
        <v>483</v>
      </c>
      <c r="H10" s="20">
        <v>417</v>
      </c>
      <c r="I10" s="228">
        <v>0.99760000000000004</v>
      </c>
      <c r="J10" s="267">
        <f t="shared" si="0"/>
        <v>0.80057251908396942</v>
      </c>
    </row>
    <row r="11" spans="1:16" ht="21.75" customHeight="1">
      <c r="A11" s="25" t="s">
        <v>1225</v>
      </c>
      <c r="B11" s="26">
        <v>3771</v>
      </c>
      <c r="C11" s="26">
        <v>471</v>
      </c>
      <c r="D11" s="26">
        <v>3300</v>
      </c>
      <c r="E11" s="26">
        <f>+F11+G11</f>
        <v>0</v>
      </c>
      <c r="F11" s="26">
        <v>0</v>
      </c>
      <c r="G11" s="26">
        <v>0</v>
      </c>
      <c r="H11" s="26">
        <v>447</v>
      </c>
      <c r="I11" s="87">
        <v>0.94899999999999995</v>
      </c>
      <c r="J11" s="275">
        <f t="shared" si="0"/>
        <v>0.87509944311853616</v>
      </c>
    </row>
    <row r="12" spans="1:16" ht="21.75" customHeight="1">
      <c r="A12" s="45" t="s">
        <v>626</v>
      </c>
      <c r="B12" s="29">
        <f>SUM(B6:B11)</f>
        <v>21526</v>
      </c>
      <c r="C12" s="29">
        <f>SUM(C6:C11)</f>
        <v>6297</v>
      </c>
      <c r="D12" s="29">
        <f>SUM(D6:D11)</f>
        <v>15229</v>
      </c>
      <c r="E12" s="29">
        <f>+F12+G12</f>
        <v>8834</v>
      </c>
      <c r="F12" s="29">
        <f>SUM(F6:F11)</f>
        <v>2491</v>
      </c>
      <c r="G12" s="29">
        <f>SUM(G6:G11)</f>
        <v>6343</v>
      </c>
      <c r="H12" s="29">
        <f>SUM(H6:H11)</f>
        <v>5465</v>
      </c>
      <c r="I12" s="251">
        <v>0.8679</v>
      </c>
      <c r="J12" s="397">
        <f>+D12/B12</f>
        <v>0.7074700362352504</v>
      </c>
    </row>
    <row r="13" spans="1:16" ht="21.75" customHeight="1">
      <c r="A13" s="398" t="s">
        <v>1226</v>
      </c>
      <c r="B13" s="30"/>
      <c r="C13" s="30"/>
      <c r="D13" s="30"/>
      <c r="E13" s="30"/>
      <c r="F13" s="30"/>
      <c r="G13" s="30"/>
      <c r="H13" s="30"/>
      <c r="I13" s="30"/>
      <c r="J13" s="30"/>
    </row>
    <row r="14" spans="1:16" ht="21.75" customHeight="1">
      <c r="A14" s="399" t="s">
        <v>1227</v>
      </c>
    </row>
    <row r="15" spans="1:16" ht="21.75" customHeight="1">
      <c r="A15" s="399" t="s">
        <v>1228</v>
      </c>
    </row>
    <row r="16" spans="1:16" ht="21.75" customHeight="1"/>
    <row r="17" spans="1:7" ht="40" customHeight="1">
      <c r="A17" s="134" t="s">
        <v>1229</v>
      </c>
      <c r="B17" s="177" t="s">
        <v>1230</v>
      </c>
      <c r="C17" s="177" t="s">
        <v>1231</v>
      </c>
      <c r="D17" s="177" t="s">
        <v>1232</v>
      </c>
      <c r="E17" s="177" t="s">
        <v>1233</v>
      </c>
      <c r="F17" s="177" t="s">
        <v>1212</v>
      </c>
      <c r="G17" s="177" t="s">
        <v>1234</v>
      </c>
    </row>
    <row r="18" spans="1:7" ht="16.75" customHeight="1">
      <c r="A18" s="134"/>
      <c r="B18" s="177"/>
      <c r="C18" s="177"/>
      <c r="D18" s="177"/>
      <c r="E18" s="177"/>
      <c r="F18" s="177"/>
      <c r="G18" s="177"/>
    </row>
    <row r="19" spans="1:7" ht="21.75" customHeight="1">
      <c r="A19" s="144" t="s">
        <v>589</v>
      </c>
      <c r="B19" s="20">
        <f>+B20+B21+B22+B23+B24</f>
        <v>1729</v>
      </c>
      <c r="C19" s="20">
        <f>+C20+C21+C22+C23+C24</f>
        <v>150</v>
      </c>
      <c r="D19" s="20">
        <f>+D20+D21+D22+D23+D24</f>
        <v>1879</v>
      </c>
      <c r="E19" s="20">
        <f>SUM(E20:E24)</f>
        <v>1895</v>
      </c>
      <c r="F19" s="20">
        <f t="shared" ref="F19:F24" si="1">+D19+E19</f>
        <v>3774</v>
      </c>
      <c r="G19" s="267">
        <f t="shared" ref="G19:G34" si="2">+E19/F19</f>
        <v>0.50211976682564918</v>
      </c>
    </row>
    <row r="20" spans="1:7" ht="21.75" customHeight="1">
      <c r="A20" s="21" t="s">
        <v>690</v>
      </c>
      <c r="B20" s="20">
        <v>429</v>
      </c>
      <c r="C20" s="20">
        <v>28</v>
      </c>
      <c r="D20" s="20">
        <f>SUM(B20,C20)</f>
        <v>457</v>
      </c>
      <c r="E20" s="20">
        <v>684</v>
      </c>
      <c r="F20" s="20">
        <f t="shared" si="1"/>
        <v>1141</v>
      </c>
      <c r="G20" s="267">
        <f t="shared" si="2"/>
        <v>0.59947414548641542</v>
      </c>
    </row>
    <row r="21" spans="1:7" ht="21.75" customHeight="1">
      <c r="A21" s="21" t="s">
        <v>678</v>
      </c>
      <c r="B21" s="20">
        <v>301</v>
      </c>
      <c r="C21" s="20">
        <v>13</v>
      </c>
      <c r="D21" s="20">
        <f>+B21+C21</f>
        <v>314</v>
      </c>
      <c r="E21" s="20">
        <v>473</v>
      </c>
      <c r="F21" s="20">
        <f t="shared" si="1"/>
        <v>787</v>
      </c>
      <c r="G21" s="267">
        <f t="shared" si="2"/>
        <v>0.60101651842439641</v>
      </c>
    </row>
    <row r="22" spans="1:7" ht="21.75" customHeight="1">
      <c r="A22" s="21" t="s">
        <v>689</v>
      </c>
      <c r="B22" s="20">
        <v>175</v>
      </c>
      <c r="C22" s="20">
        <v>13</v>
      </c>
      <c r="D22" s="20">
        <f>+B22+C22</f>
        <v>188</v>
      </c>
      <c r="E22" s="20">
        <v>497</v>
      </c>
      <c r="F22" s="20">
        <f t="shared" si="1"/>
        <v>685</v>
      </c>
      <c r="G22" s="267">
        <f t="shared" si="2"/>
        <v>0.72554744525547443</v>
      </c>
    </row>
    <row r="23" spans="1:7" ht="21.75" customHeight="1">
      <c r="A23" s="21" t="s">
        <v>676</v>
      </c>
      <c r="B23" s="20">
        <v>581</v>
      </c>
      <c r="C23" s="20">
        <v>23</v>
      </c>
      <c r="D23" s="20">
        <f>+B23+C23</f>
        <v>604</v>
      </c>
      <c r="E23" s="20">
        <v>215</v>
      </c>
      <c r="F23" s="20">
        <f t="shared" si="1"/>
        <v>819</v>
      </c>
      <c r="G23" s="267">
        <f t="shared" si="2"/>
        <v>0.26251526251526253</v>
      </c>
    </row>
    <row r="24" spans="1:7" ht="21.75" customHeight="1">
      <c r="A24" s="21" t="s">
        <v>1235</v>
      </c>
      <c r="B24" s="20">
        <v>243</v>
      </c>
      <c r="C24" s="20">
        <v>73</v>
      </c>
      <c r="D24" s="20">
        <f>+B24+C24</f>
        <v>316</v>
      </c>
      <c r="E24" s="20">
        <v>26</v>
      </c>
      <c r="F24" s="20">
        <f t="shared" si="1"/>
        <v>342</v>
      </c>
      <c r="G24" s="267">
        <f t="shared" si="2"/>
        <v>7.6023391812865493E-2</v>
      </c>
    </row>
    <row r="25" spans="1:7" ht="21.75" customHeight="1">
      <c r="A25" s="144" t="s">
        <v>590</v>
      </c>
      <c r="B25" s="20">
        <f>+B26+B27</f>
        <v>2422</v>
      </c>
      <c r="C25" s="20">
        <f>+C26+C27</f>
        <v>284</v>
      </c>
      <c r="D25" s="20">
        <f>+D26+D27</f>
        <v>2706</v>
      </c>
      <c r="E25" s="20">
        <f>+E26+E27</f>
        <v>2575</v>
      </c>
      <c r="F25" s="20">
        <f>+F26+F27</f>
        <v>5281</v>
      </c>
      <c r="G25" s="267">
        <f t="shared" si="2"/>
        <v>0.48759704601401249</v>
      </c>
    </row>
    <row r="26" spans="1:7" ht="21.75" customHeight="1">
      <c r="A26" s="21" t="s">
        <v>1224</v>
      </c>
      <c r="B26" s="20">
        <v>118</v>
      </c>
      <c r="C26" s="20">
        <v>6</v>
      </c>
      <c r="D26" s="20">
        <f>+B26+C26</f>
        <v>124</v>
      </c>
      <c r="E26" s="20">
        <v>1</v>
      </c>
      <c r="F26" s="20">
        <f t="shared" ref="F26:F33" si="3">+D26+E26</f>
        <v>125</v>
      </c>
      <c r="G26" s="267">
        <f t="shared" si="2"/>
        <v>8.0000000000000002E-3</v>
      </c>
    </row>
    <row r="27" spans="1:7" ht="21.75" customHeight="1">
      <c r="A27" s="21" t="s">
        <v>604</v>
      </c>
      <c r="B27" s="20">
        <v>2304</v>
      </c>
      <c r="C27" s="20">
        <v>278</v>
      </c>
      <c r="D27" s="20">
        <f>+B27+C27</f>
        <v>2582</v>
      </c>
      <c r="E27" s="20">
        <v>2574</v>
      </c>
      <c r="F27" s="20">
        <f t="shared" si="3"/>
        <v>5156</v>
      </c>
      <c r="G27" s="267">
        <f t="shared" si="2"/>
        <v>0.49922420480993018</v>
      </c>
    </row>
    <row r="28" spans="1:7" ht="21.75" customHeight="1">
      <c r="A28" s="144" t="s">
        <v>645</v>
      </c>
      <c r="B28" s="20">
        <f>+B29+B30</f>
        <v>82</v>
      </c>
      <c r="C28" s="20">
        <f>+C29+C30</f>
        <v>741</v>
      </c>
      <c r="D28" s="20">
        <f>+D29+D30</f>
        <v>823</v>
      </c>
      <c r="E28" s="20">
        <f>SUM(E29:E30)</f>
        <v>5781</v>
      </c>
      <c r="F28" s="20">
        <f t="shared" si="3"/>
        <v>6604</v>
      </c>
      <c r="G28" s="267">
        <f t="shared" si="2"/>
        <v>0.87537855844942458</v>
      </c>
    </row>
    <row r="29" spans="1:7" ht="21.75" customHeight="1">
      <c r="A29" s="21" t="s">
        <v>691</v>
      </c>
      <c r="B29" s="20">
        <v>15</v>
      </c>
      <c r="C29" s="20">
        <v>242</v>
      </c>
      <c r="D29" s="20">
        <f>+B29+C29</f>
        <v>257</v>
      </c>
      <c r="E29" s="20">
        <v>1228</v>
      </c>
      <c r="F29" s="20">
        <f t="shared" si="3"/>
        <v>1485</v>
      </c>
      <c r="G29" s="267">
        <f t="shared" si="2"/>
        <v>0.82693602693602697</v>
      </c>
    </row>
    <row r="30" spans="1:7" ht="21.75" customHeight="1">
      <c r="A30" s="21" t="s">
        <v>680</v>
      </c>
      <c r="B30" s="20">
        <v>67</v>
      </c>
      <c r="C30" s="20">
        <v>499</v>
      </c>
      <c r="D30" s="20">
        <f>+B30+C30</f>
        <v>566</v>
      </c>
      <c r="E30" s="20">
        <v>4553</v>
      </c>
      <c r="F30" s="20">
        <f t="shared" si="3"/>
        <v>5119</v>
      </c>
      <c r="G30" s="267">
        <f t="shared" si="2"/>
        <v>0.8894315295956241</v>
      </c>
    </row>
    <row r="31" spans="1:7" ht="21.75" customHeight="1">
      <c r="A31" s="144" t="s">
        <v>640</v>
      </c>
      <c r="B31" s="20">
        <f>+B32+B33</f>
        <v>883</v>
      </c>
      <c r="C31" s="20">
        <f>+C32+C33</f>
        <v>6</v>
      </c>
      <c r="D31" s="20">
        <f>+D32+D33</f>
        <v>889</v>
      </c>
      <c r="E31" s="20">
        <f>+E32+E33</f>
        <v>4978</v>
      </c>
      <c r="F31" s="20">
        <f t="shared" si="3"/>
        <v>5867</v>
      </c>
      <c r="G31" s="267">
        <f t="shared" si="2"/>
        <v>0.84847451849326738</v>
      </c>
    </row>
    <row r="32" spans="1:7" ht="21.75" customHeight="1">
      <c r="A32" s="21" t="s">
        <v>746</v>
      </c>
      <c r="B32" s="20">
        <v>418</v>
      </c>
      <c r="C32" s="20">
        <v>0</v>
      </c>
      <c r="D32" s="20">
        <f>+B32+C32</f>
        <v>418</v>
      </c>
      <c r="E32" s="20">
        <v>1678</v>
      </c>
      <c r="F32" s="20">
        <f t="shared" si="3"/>
        <v>2096</v>
      </c>
      <c r="G32" s="267">
        <f t="shared" si="2"/>
        <v>0.80057251908396942</v>
      </c>
    </row>
    <row r="33" spans="1:16" ht="21.75" customHeight="1">
      <c r="A33" s="25" t="s">
        <v>1236</v>
      </c>
      <c r="B33" s="26">
        <v>465</v>
      </c>
      <c r="C33" s="26">
        <v>6</v>
      </c>
      <c r="D33" s="26">
        <f>+B33+C33</f>
        <v>471</v>
      </c>
      <c r="E33" s="26">
        <v>3300</v>
      </c>
      <c r="F33" s="26">
        <f t="shared" si="3"/>
        <v>3771</v>
      </c>
      <c r="G33" s="400">
        <f t="shared" si="2"/>
        <v>0.87509944311853616</v>
      </c>
    </row>
    <row r="34" spans="1:16" ht="21.75" customHeight="1">
      <c r="A34" s="45" t="s">
        <v>609</v>
      </c>
      <c r="B34" s="29">
        <f>+B25+B28+B31+B19</f>
        <v>5116</v>
      </c>
      <c r="C34" s="29">
        <f>+C25+C28+C31+C19</f>
        <v>1181</v>
      </c>
      <c r="D34" s="29">
        <f>+B34+C34</f>
        <v>6297</v>
      </c>
      <c r="E34" s="29">
        <f>+E25+E28+E31+E19</f>
        <v>15229</v>
      </c>
      <c r="F34" s="29">
        <f>+F25+F28+F31+F19</f>
        <v>21526</v>
      </c>
      <c r="G34" s="401">
        <f t="shared" si="2"/>
        <v>0.7074700362352504</v>
      </c>
    </row>
    <row r="35" spans="1:16" ht="32.5" customHeight="1">
      <c r="A35" s="738" t="s">
        <v>1237</v>
      </c>
      <c r="B35" s="738"/>
      <c r="C35" s="738"/>
      <c r="D35" s="738"/>
      <c r="E35" s="738"/>
      <c r="F35" s="738"/>
      <c r="G35" s="404"/>
    </row>
    <row r="36" spans="1:16" ht="32.5" customHeight="1">
      <c r="A36" s="740" t="s">
        <v>1238</v>
      </c>
      <c r="B36" s="685"/>
      <c r="C36" s="685"/>
      <c r="D36" s="685"/>
      <c r="E36" s="685"/>
      <c r="F36" s="685"/>
    </row>
    <row r="37" spans="1:16" ht="21.75" customHeight="1">
      <c r="A37" s="51" t="s">
        <v>1239</v>
      </c>
    </row>
    <row r="38" spans="1:16" ht="21.75" customHeight="1"/>
    <row r="39" spans="1:16" ht="21.75" customHeight="1">
      <c r="A39" s="134" t="s">
        <v>1240</v>
      </c>
      <c r="B39" s="751" t="s">
        <v>1148</v>
      </c>
      <c r="C39" s="751"/>
      <c r="D39" s="751"/>
      <c r="E39" s="751"/>
      <c r="F39" s="751"/>
      <c r="G39" s="751"/>
      <c r="H39" s="751"/>
      <c r="I39" s="751"/>
      <c r="J39" s="751"/>
      <c r="K39" s="751"/>
      <c r="L39" s="751"/>
      <c r="M39" s="751"/>
      <c r="N39" s="751"/>
      <c r="O39" s="751"/>
      <c r="P39" s="751"/>
    </row>
    <row r="40" spans="1:16" ht="21.75" customHeight="1">
      <c r="A40" s="134"/>
      <c r="B40" s="751" t="s">
        <v>1241</v>
      </c>
      <c r="C40" s="751"/>
      <c r="D40" s="751"/>
      <c r="E40" s="751"/>
      <c r="F40" s="751"/>
      <c r="G40" s="751"/>
      <c r="H40" s="751"/>
      <c r="I40" s="751" t="s">
        <v>1242</v>
      </c>
      <c r="J40" s="751"/>
      <c r="K40" s="751"/>
      <c r="L40" s="751"/>
      <c r="M40" s="751"/>
      <c r="N40" s="751"/>
      <c r="O40" s="751"/>
      <c r="P40" s="134"/>
    </row>
    <row r="41" spans="1:16" ht="21.75" customHeight="1">
      <c r="A41" s="134" t="s">
        <v>1243</v>
      </c>
      <c r="B41" s="177" t="s">
        <v>589</v>
      </c>
      <c r="C41" s="177" t="s">
        <v>1225</v>
      </c>
      <c r="D41" s="177" t="s">
        <v>591</v>
      </c>
      <c r="E41" s="177" t="s">
        <v>593</v>
      </c>
      <c r="F41" s="177" t="s">
        <v>594</v>
      </c>
      <c r="G41" s="177" t="s">
        <v>1244</v>
      </c>
      <c r="H41" s="177" t="s">
        <v>1245</v>
      </c>
      <c r="I41" s="177" t="s">
        <v>589</v>
      </c>
      <c r="J41" s="177" t="s">
        <v>1225</v>
      </c>
      <c r="K41" s="177" t="s">
        <v>591</v>
      </c>
      <c r="L41" s="177" t="s">
        <v>593</v>
      </c>
      <c r="M41" s="177" t="s">
        <v>594</v>
      </c>
      <c r="N41" s="177" t="s">
        <v>1244</v>
      </c>
      <c r="O41" s="177" t="s">
        <v>1246</v>
      </c>
      <c r="P41" s="177" t="s">
        <v>1247</v>
      </c>
    </row>
    <row r="42" spans="1:16" ht="21.75" customHeight="1">
      <c r="A42" s="21" t="s">
        <v>1248</v>
      </c>
      <c r="B42" s="20">
        <v>55</v>
      </c>
      <c r="C42" s="20">
        <v>0</v>
      </c>
      <c r="D42" s="20">
        <v>0</v>
      </c>
      <c r="E42" s="20">
        <v>0</v>
      </c>
      <c r="F42" s="20">
        <v>0</v>
      </c>
      <c r="G42" s="20">
        <v>213</v>
      </c>
      <c r="H42" s="20">
        <f t="shared" ref="H42:H54" si="4">SUM(B42:G42)</f>
        <v>268</v>
      </c>
      <c r="I42" s="20">
        <v>93</v>
      </c>
      <c r="J42" s="20">
        <v>0</v>
      </c>
      <c r="K42" s="20">
        <v>0</v>
      </c>
      <c r="L42" s="20">
        <v>0</v>
      </c>
      <c r="M42" s="20">
        <v>0</v>
      </c>
      <c r="N42" s="20">
        <v>398</v>
      </c>
      <c r="O42" s="20">
        <f t="shared" ref="O42:O53" si="5">SUM(I42:N42)</f>
        <v>491</v>
      </c>
      <c r="P42" s="20">
        <f t="shared" ref="P42:P53" si="6">+H42+O42</f>
        <v>759</v>
      </c>
    </row>
    <row r="43" spans="1:16" ht="21.75" customHeight="1">
      <c r="A43" s="21" t="s">
        <v>1249</v>
      </c>
      <c r="B43" s="20">
        <v>154</v>
      </c>
      <c r="C43" s="20">
        <v>43</v>
      </c>
      <c r="D43" s="20">
        <v>2</v>
      </c>
      <c r="E43" s="20">
        <v>4</v>
      </c>
      <c r="F43" s="20">
        <v>1</v>
      </c>
      <c r="G43" s="20">
        <v>86</v>
      </c>
      <c r="H43" s="20">
        <f t="shared" si="4"/>
        <v>290</v>
      </c>
      <c r="I43" s="20">
        <v>296</v>
      </c>
      <c r="J43" s="20">
        <v>125</v>
      </c>
      <c r="K43" s="20">
        <v>0</v>
      </c>
      <c r="L43" s="20">
        <v>21</v>
      </c>
      <c r="M43" s="20">
        <v>22</v>
      </c>
      <c r="N43" s="20">
        <v>174</v>
      </c>
      <c r="O43" s="20">
        <f t="shared" si="5"/>
        <v>638</v>
      </c>
      <c r="P43" s="20">
        <f t="shared" si="6"/>
        <v>928</v>
      </c>
    </row>
    <row r="44" spans="1:16" ht="21.75" customHeight="1">
      <c r="A44" s="21" t="s">
        <v>1250</v>
      </c>
      <c r="B44" s="20">
        <v>29</v>
      </c>
      <c r="C44" s="20">
        <v>3</v>
      </c>
      <c r="D44" s="20">
        <v>6</v>
      </c>
      <c r="E44" s="20">
        <v>6</v>
      </c>
      <c r="F44" s="20">
        <v>3</v>
      </c>
      <c r="G44" s="20">
        <v>99</v>
      </c>
      <c r="H44" s="20">
        <f t="shared" si="4"/>
        <v>146</v>
      </c>
      <c r="I44" s="20">
        <v>215</v>
      </c>
      <c r="J44" s="20">
        <v>21</v>
      </c>
      <c r="K44" s="20">
        <v>5</v>
      </c>
      <c r="L44" s="20">
        <v>185</v>
      </c>
      <c r="M44" s="20">
        <v>45</v>
      </c>
      <c r="N44" s="20">
        <v>189</v>
      </c>
      <c r="O44" s="20">
        <f t="shared" si="5"/>
        <v>660</v>
      </c>
      <c r="P44" s="20">
        <f t="shared" si="6"/>
        <v>806</v>
      </c>
    </row>
    <row r="45" spans="1:16" ht="21.75" customHeight="1">
      <c r="A45" s="21" t="s">
        <v>1251</v>
      </c>
      <c r="B45" s="20">
        <v>76</v>
      </c>
      <c r="C45" s="20">
        <v>35</v>
      </c>
      <c r="D45" s="20">
        <v>10</v>
      </c>
      <c r="E45" s="20">
        <v>25</v>
      </c>
      <c r="F45" s="20">
        <v>35</v>
      </c>
      <c r="G45" s="20">
        <v>151</v>
      </c>
      <c r="H45" s="20">
        <f t="shared" si="4"/>
        <v>332</v>
      </c>
      <c r="I45" s="20">
        <v>436</v>
      </c>
      <c r="J45" s="20">
        <v>70</v>
      </c>
      <c r="K45" s="20">
        <v>2</v>
      </c>
      <c r="L45" s="20">
        <v>204</v>
      </c>
      <c r="M45" s="20">
        <v>76</v>
      </c>
      <c r="N45" s="20">
        <v>737</v>
      </c>
      <c r="O45" s="20">
        <f t="shared" si="5"/>
        <v>1525</v>
      </c>
      <c r="P45" s="20">
        <f t="shared" si="6"/>
        <v>1857</v>
      </c>
    </row>
    <row r="46" spans="1:16" ht="21.75" customHeight="1">
      <c r="A46" s="21" t="s">
        <v>1252</v>
      </c>
      <c r="B46" s="20">
        <v>78</v>
      </c>
      <c r="C46" s="20">
        <v>32</v>
      </c>
      <c r="D46" s="20">
        <v>3</v>
      </c>
      <c r="E46" s="20">
        <v>47</v>
      </c>
      <c r="F46" s="20">
        <v>28</v>
      </c>
      <c r="G46" s="20">
        <v>74</v>
      </c>
      <c r="H46" s="20">
        <f t="shared" si="4"/>
        <v>262</v>
      </c>
      <c r="I46" s="20">
        <v>204</v>
      </c>
      <c r="J46" s="20">
        <v>78</v>
      </c>
      <c r="K46" s="20">
        <v>0</v>
      </c>
      <c r="L46" s="20">
        <v>250</v>
      </c>
      <c r="M46" s="20">
        <v>94</v>
      </c>
      <c r="N46" s="20">
        <v>232</v>
      </c>
      <c r="O46" s="20">
        <f t="shared" si="5"/>
        <v>858</v>
      </c>
      <c r="P46" s="20">
        <f t="shared" si="6"/>
        <v>1120</v>
      </c>
    </row>
    <row r="47" spans="1:16" ht="21.75" customHeight="1">
      <c r="A47" s="21" t="s">
        <v>1253</v>
      </c>
      <c r="B47" s="20">
        <v>47</v>
      </c>
      <c r="C47" s="20">
        <v>8</v>
      </c>
      <c r="D47" s="20">
        <v>12</v>
      </c>
      <c r="E47" s="20">
        <v>0</v>
      </c>
      <c r="F47" s="20">
        <v>9</v>
      </c>
      <c r="G47" s="20">
        <v>23</v>
      </c>
      <c r="H47" s="20">
        <f t="shared" si="4"/>
        <v>99</v>
      </c>
      <c r="I47" s="20">
        <v>111</v>
      </c>
      <c r="J47" s="20">
        <v>38</v>
      </c>
      <c r="K47" s="20">
        <v>6</v>
      </c>
      <c r="L47" s="20">
        <v>1</v>
      </c>
      <c r="M47" s="20">
        <v>34</v>
      </c>
      <c r="N47" s="20">
        <v>55</v>
      </c>
      <c r="O47" s="20">
        <f t="shared" si="5"/>
        <v>245</v>
      </c>
      <c r="P47" s="20">
        <f t="shared" si="6"/>
        <v>344</v>
      </c>
    </row>
    <row r="48" spans="1:16" ht="21.75" customHeight="1">
      <c r="A48" s="21" t="s">
        <v>1254</v>
      </c>
      <c r="B48" s="20">
        <v>17</v>
      </c>
      <c r="C48" s="20">
        <v>2</v>
      </c>
      <c r="D48" s="20">
        <v>7</v>
      </c>
      <c r="E48" s="20">
        <v>6</v>
      </c>
      <c r="F48" s="20">
        <v>0</v>
      </c>
      <c r="G48" s="20">
        <v>23</v>
      </c>
      <c r="H48" s="20">
        <f t="shared" si="4"/>
        <v>55</v>
      </c>
      <c r="I48" s="20">
        <v>30</v>
      </c>
      <c r="J48" s="20">
        <v>13</v>
      </c>
      <c r="K48" s="20">
        <v>9</v>
      </c>
      <c r="L48" s="20">
        <v>41</v>
      </c>
      <c r="M48" s="20">
        <v>15</v>
      </c>
      <c r="N48" s="20">
        <v>34</v>
      </c>
      <c r="O48" s="20">
        <f t="shared" si="5"/>
        <v>142</v>
      </c>
      <c r="P48" s="20">
        <f t="shared" si="6"/>
        <v>197</v>
      </c>
    </row>
    <row r="49" spans="1:16" ht="21.75" customHeight="1">
      <c r="A49" s="21" t="s">
        <v>1255</v>
      </c>
      <c r="B49" s="20">
        <v>4</v>
      </c>
      <c r="C49" s="20">
        <v>0</v>
      </c>
      <c r="D49" s="20">
        <v>8</v>
      </c>
      <c r="E49" s="20">
        <v>6</v>
      </c>
      <c r="F49" s="20">
        <v>0</v>
      </c>
      <c r="G49" s="20">
        <v>3</v>
      </c>
      <c r="H49" s="20">
        <f t="shared" si="4"/>
        <v>21</v>
      </c>
      <c r="I49" s="20">
        <v>21</v>
      </c>
      <c r="J49" s="20">
        <v>1</v>
      </c>
      <c r="K49" s="20">
        <v>16</v>
      </c>
      <c r="L49" s="20">
        <v>20</v>
      </c>
      <c r="M49" s="20">
        <v>4</v>
      </c>
      <c r="N49" s="20">
        <v>6</v>
      </c>
      <c r="O49" s="20">
        <f t="shared" si="5"/>
        <v>68</v>
      </c>
      <c r="P49" s="20">
        <f t="shared" si="6"/>
        <v>89</v>
      </c>
    </row>
    <row r="50" spans="1:16" ht="21.75" customHeight="1">
      <c r="A50" s="21" t="s">
        <v>1256</v>
      </c>
      <c r="B50" s="20">
        <v>2</v>
      </c>
      <c r="C50" s="20">
        <v>0</v>
      </c>
      <c r="D50" s="20">
        <v>6</v>
      </c>
      <c r="E50" s="20">
        <v>2</v>
      </c>
      <c r="F50" s="20">
        <v>1</v>
      </c>
      <c r="G50" s="20">
        <v>0</v>
      </c>
      <c r="H50" s="20">
        <f t="shared" si="4"/>
        <v>11</v>
      </c>
      <c r="I50" s="20">
        <v>9</v>
      </c>
      <c r="J50" s="20">
        <v>2</v>
      </c>
      <c r="K50" s="20">
        <v>23</v>
      </c>
      <c r="L50" s="20">
        <v>4</v>
      </c>
      <c r="M50" s="20">
        <v>5</v>
      </c>
      <c r="N50" s="20">
        <v>6</v>
      </c>
      <c r="O50" s="20">
        <f t="shared" si="5"/>
        <v>49</v>
      </c>
      <c r="P50" s="20">
        <f t="shared" si="6"/>
        <v>60</v>
      </c>
    </row>
    <row r="51" spans="1:16" ht="21.75" customHeight="1">
      <c r="A51" s="21" t="s">
        <v>1257</v>
      </c>
      <c r="B51" s="20">
        <v>0</v>
      </c>
      <c r="C51" s="20">
        <v>0</v>
      </c>
      <c r="D51" s="20">
        <v>3</v>
      </c>
      <c r="E51" s="20">
        <v>0</v>
      </c>
      <c r="F51" s="20">
        <v>0</v>
      </c>
      <c r="G51" s="20">
        <v>0</v>
      </c>
      <c r="H51" s="20">
        <f t="shared" si="4"/>
        <v>3</v>
      </c>
      <c r="I51" s="20">
        <v>2</v>
      </c>
      <c r="J51" s="20">
        <v>0</v>
      </c>
      <c r="K51" s="20">
        <v>6</v>
      </c>
      <c r="L51" s="20">
        <v>1</v>
      </c>
      <c r="M51" s="20">
        <v>1</v>
      </c>
      <c r="N51" s="20">
        <v>0</v>
      </c>
      <c r="O51" s="20">
        <f t="shared" si="5"/>
        <v>10</v>
      </c>
      <c r="P51" s="20">
        <f t="shared" si="6"/>
        <v>13</v>
      </c>
    </row>
    <row r="52" spans="1:16" ht="21.75" customHeight="1">
      <c r="A52" s="21" t="s">
        <v>1258</v>
      </c>
      <c r="B52" s="20">
        <v>0</v>
      </c>
      <c r="C52" s="20">
        <v>0</v>
      </c>
      <c r="D52" s="20">
        <v>0</v>
      </c>
      <c r="E52" s="20">
        <v>0</v>
      </c>
      <c r="F52" s="20">
        <v>0</v>
      </c>
      <c r="G52" s="20">
        <v>0</v>
      </c>
      <c r="H52" s="20">
        <f t="shared" si="4"/>
        <v>0</v>
      </c>
      <c r="I52" s="20">
        <v>0</v>
      </c>
      <c r="J52" s="20">
        <v>0</v>
      </c>
      <c r="K52" s="20">
        <v>0</v>
      </c>
      <c r="L52" s="20">
        <v>0</v>
      </c>
      <c r="M52" s="20">
        <v>0</v>
      </c>
      <c r="N52" s="20">
        <v>0</v>
      </c>
      <c r="O52" s="20">
        <f t="shared" si="5"/>
        <v>0</v>
      </c>
      <c r="P52" s="20">
        <f t="shared" si="6"/>
        <v>0</v>
      </c>
    </row>
    <row r="53" spans="1:16" ht="21.75" customHeight="1">
      <c r="A53" s="25" t="s">
        <v>1259</v>
      </c>
      <c r="B53" s="26">
        <v>0</v>
      </c>
      <c r="C53" s="26">
        <v>0</v>
      </c>
      <c r="D53" s="26">
        <v>0</v>
      </c>
      <c r="E53" s="26">
        <v>0</v>
      </c>
      <c r="F53" s="26">
        <v>32</v>
      </c>
      <c r="G53" s="26">
        <v>44</v>
      </c>
      <c r="H53" s="26">
        <f t="shared" si="4"/>
        <v>76</v>
      </c>
      <c r="I53" s="26">
        <v>0</v>
      </c>
      <c r="J53" s="26">
        <v>0</v>
      </c>
      <c r="K53" s="26">
        <v>0</v>
      </c>
      <c r="L53" s="26">
        <v>0</v>
      </c>
      <c r="M53" s="26">
        <v>13</v>
      </c>
      <c r="N53" s="26">
        <v>35</v>
      </c>
      <c r="O53" s="26">
        <f t="shared" si="5"/>
        <v>48</v>
      </c>
      <c r="P53" s="26">
        <f t="shared" si="6"/>
        <v>124</v>
      </c>
    </row>
    <row r="54" spans="1:16" ht="21.75" customHeight="1">
      <c r="A54" s="45" t="s">
        <v>1247</v>
      </c>
      <c r="B54" s="29">
        <f t="shared" ref="B54:G54" si="7">SUM(B42:B53)</f>
        <v>462</v>
      </c>
      <c r="C54" s="29">
        <f t="shared" si="7"/>
        <v>123</v>
      </c>
      <c r="D54" s="29">
        <f t="shared" si="7"/>
        <v>57</v>
      </c>
      <c r="E54" s="29">
        <f t="shared" si="7"/>
        <v>96</v>
      </c>
      <c r="F54" s="29">
        <f t="shared" si="7"/>
        <v>109</v>
      </c>
      <c r="G54" s="29">
        <f t="shared" si="7"/>
        <v>716</v>
      </c>
      <c r="H54" s="29">
        <f t="shared" si="4"/>
        <v>1563</v>
      </c>
      <c r="I54" s="29">
        <f t="shared" ref="I54:P54" si="8">SUM(I42:I53)</f>
        <v>1417</v>
      </c>
      <c r="J54" s="29">
        <f t="shared" si="8"/>
        <v>348</v>
      </c>
      <c r="K54" s="29">
        <f t="shared" si="8"/>
        <v>67</v>
      </c>
      <c r="L54" s="29">
        <f t="shared" si="8"/>
        <v>727</v>
      </c>
      <c r="M54" s="29">
        <f t="shared" si="8"/>
        <v>309</v>
      </c>
      <c r="N54" s="29">
        <f t="shared" si="8"/>
        <v>1866</v>
      </c>
      <c r="O54" s="29">
        <f t="shared" si="8"/>
        <v>4734</v>
      </c>
      <c r="P54" s="29">
        <f t="shared" si="8"/>
        <v>6297</v>
      </c>
    </row>
    <row r="55" spans="1:16" ht="21.75" customHeight="1">
      <c r="A55" s="115"/>
      <c r="B55" s="19"/>
      <c r="C55" s="115"/>
      <c r="D55" s="19"/>
      <c r="E55" s="19"/>
      <c r="F55" s="19"/>
      <c r="G55" s="19"/>
      <c r="H55" s="19"/>
      <c r="I55" s="19"/>
      <c r="J55" s="19"/>
      <c r="K55" s="19"/>
      <c r="L55" s="19"/>
      <c r="M55" s="19"/>
      <c r="N55" s="19"/>
      <c r="O55" s="19"/>
      <c r="P55" s="19"/>
    </row>
    <row r="56" spans="1:16" ht="26.75" customHeight="1">
      <c r="A56" s="134" t="s">
        <v>1260</v>
      </c>
      <c r="B56" s="177" t="s">
        <v>1241</v>
      </c>
      <c r="C56" s="177" t="s">
        <v>1242</v>
      </c>
    </row>
    <row r="57" spans="1:16" ht="21.75" customHeight="1">
      <c r="A57" s="21" t="s">
        <v>589</v>
      </c>
      <c r="B57" s="625">
        <v>0.89500000000000002</v>
      </c>
      <c r="C57" s="625">
        <v>1</v>
      </c>
    </row>
    <row r="58" spans="1:16" ht="21.75" customHeight="1">
      <c r="A58" s="21" t="s">
        <v>590</v>
      </c>
      <c r="B58" s="625">
        <v>0.97</v>
      </c>
      <c r="C58" s="625">
        <v>1</v>
      </c>
    </row>
    <row r="59" spans="1:16" ht="21.75" customHeight="1">
      <c r="A59" s="21" t="s">
        <v>645</v>
      </c>
      <c r="B59" s="625">
        <v>1</v>
      </c>
      <c r="C59" s="625">
        <v>1</v>
      </c>
    </row>
    <row r="60" spans="1:16" ht="21.75" customHeight="1">
      <c r="A60" s="21" t="s">
        <v>1225</v>
      </c>
      <c r="B60" s="625">
        <v>0.98499999999999999</v>
      </c>
      <c r="C60" s="625">
        <v>1</v>
      </c>
    </row>
    <row r="61" spans="1:16" ht="21.75" customHeight="1">
      <c r="A61" s="402" t="s">
        <v>594</v>
      </c>
      <c r="B61" s="637">
        <v>1</v>
      </c>
      <c r="C61" s="637">
        <v>1</v>
      </c>
    </row>
    <row r="62" spans="1:16" ht="21.75" customHeight="1">
      <c r="A62" s="96"/>
      <c r="B62" s="96"/>
      <c r="C62" s="96"/>
    </row>
    <row r="63" spans="1:16" ht="21.75" customHeight="1"/>
    <row r="64" spans="1:16" ht="21.75" customHeight="1">
      <c r="A64" s="134" t="s">
        <v>1261</v>
      </c>
      <c r="B64" s="177"/>
      <c r="C64" s="177"/>
    </row>
    <row r="65" spans="1:3" ht="21.75" customHeight="1">
      <c r="A65" s="134" t="s">
        <v>1262</v>
      </c>
      <c r="B65" s="177" t="s">
        <v>583</v>
      </c>
      <c r="C65" s="177" t="s">
        <v>1166</v>
      </c>
    </row>
    <row r="66" spans="1:3" ht="21.75" customHeight="1">
      <c r="A66" s="21" t="s">
        <v>589</v>
      </c>
      <c r="B66" s="24" t="s">
        <v>1263</v>
      </c>
      <c r="C66" s="24" t="s">
        <v>1264</v>
      </c>
    </row>
    <row r="67" spans="1:3" ht="21.75" customHeight="1">
      <c r="A67" s="21" t="s">
        <v>1265</v>
      </c>
      <c r="B67" s="625">
        <v>0.76</v>
      </c>
      <c r="C67" s="24" t="s">
        <v>1266</v>
      </c>
    </row>
    <row r="68" spans="1:3" ht="21.75" customHeight="1">
      <c r="A68" s="21" t="s">
        <v>645</v>
      </c>
      <c r="B68" s="403">
        <v>0</v>
      </c>
      <c r="C68" s="625">
        <v>0.36</v>
      </c>
    </row>
    <row r="69" spans="1:3" ht="21.75" customHeight="1">
      <c r="A69" s="21" t="s">
        <v>1225</v>
      </c>
      <c r="B69" s="58">
        <v>0.59299999999999997</v>
      </c>
      <c r="C69" s="24" t="s">
        <v>625</v>
      </c>
    </row>
    <row r="70" spans="1:3" ht="21.75" customHeight="1">
      <c r="A70" s="21" t="s">
        <v>594</v>
      </c>
      <c r="B70" s="58">
        <v>0.26329999999999998</v>
      </c>
      <c r="C70" s="24" t="s">
        <v>625</v>
      </c>
    </row>
    <row r="71" spans="1:3" ht="21.75" customHeight="1">
      <c r="A71" s="155" t="s">
        <v>1267</v>
      </c>
      <c r="B71" s="629">
        <v>0.39</v>
      </c>
    </row>
    <row r="72" spans="1:3" ht="21.75" customHeight="1">
      <c r="A72" s="30" t="s">
        <v>1268</v>
      </c>
      <c r="B72" s="30"/>
      <c r="C72" s="30"/>
    </row>
    <row r="73" spans="1:3" ht="21.75" customHeight="1"/>
    <row r="74" spans="1:3" ht="21.75" customHeight="1">
      <c r="A74" s="134" t="s">
        <v>1269</v>
      </c>
      <c r="B74" s="177"/>
    </row>
    <row r="75" spans="1:3" ht="16.75" customHeight="1">
      <c r="A75" s="134" t="s">
        <v>1270</v>
      </c>
      <c r="B75" s="177"/>
    </row>
    <row r="76" spans="1:3" ht="21.75" customHeight="1">
      <c r="A76" s="21" t="s">
        <v>589</v>
      </c>
      <c r="B76" s="35">
        <v>0</v>
      </c>
    </row>
    <row r="77" spans="1:3" ht="21.75" customHeight="1">
      <c r="A77" s="21" t="s">
        <v>590</v>
      </c>
      <c r="B77" s="35">
        <v>0</v>
      </c>
    </row>
    <row r="78" spans="1:3" ht="21.75" customHeight="1">
      <c r="A78" s="21" t="s">
        <v>645</v>
      </c>
      <c r="B78" s="35">
        <v>0</v>
      </c>
    </row>
    <row r="79" spans="1:3" ht="21.75" customHeight="1">
      <c r="A79" s="21" t="s">
        <v>1225</v>
      </c>
      <c r="B79" s="35">
        <v>0</v>
      </c>
    </row>
    <row r="80" spans="1:3" ht="21.75" customHeight="1">
      <c r="A80" s="155" t="s">
        <v>594</v>
      </c>
      <c r="B80" s="195">
        <v>0</v>
      </c>
    </row>
    <row r="81" spans="1:4" ht="21.75" customHeight="1">
      <c r="A81" s="19"/>
      <c r="B81" s="19"/>
    </row>
    <row r="82" spans="1:4" ht="21.75" customHeight="1">
      <c r="A82" s="134" t="s">
        <v>1271</v>
      </c>
      <c r="B82" s="177"/>
    </row>
    <row r="83" spans="1:4" ht="21.75" customHeight="1">
      <c r="A83" s="21" t="s">
        <v>589</v>
      </c>
      <c r="B83" s="206">
        <v>1.67</v>
      </c>
    </row>
    <row r="84" spans="1:4" ht="21.75" customHeight="1">
      <c r="A84" s="21" t="s">
        <v>590</v>
      </c>
      <c r="B84" s="35">
        <v>1</v>
      </c>
    </row>
    <row r="85" spans="1:4" ht="21.75" customHeight="1">
      <c r="A85" s="21" t="s">
        <v>645</v>
      </c>
      <c r="B85" s="116">
        <v>0.14000000000000001</v>
      </c>
    </row>
    <row r="86" spans="1:4" ht="21.75" customHeight="1">
      <c r="A86" s="21" t="s">
        <v>1225</v>
      </c>
      <c r="B86" s="116">
        <v>6.82</v>
      </c>
    </row>
    <row r="87" spans="1:4" ht="21.75" customHeight="1">
      <c r="A87" s="155" t="s">
        <v>594</v>
      </c>
      <c r="B87" s="207">
        <v>4.32</v>
      </c>
    </row>
    <row r="88" spans="1:4" ht="21.75" customHeight="1">
      <c r="A88" s="19"/>
      <c r="B88" s="19"/>
    </row>
    <row r="89" spans="1:4" ht="21.75" customHeight="1"/>
    <row r="90" spans="1:4" ht="21.75" customHeight="1">
      <c r="A90" s="134" t="s">
        <v>1272</v>
      </c>
      <c r="B90" s="177" t="s">
        <v>609</v>
      </c>
      <c r="C90" s="177" t="s">
        <v>1241</v>
      </c>
      <c r="D90" s="177" t="s">
        <v>1242</v>
      </c>
    </row>
    <row r="91" spans="1:4" ht="21.75" customHeight="1">
      <c r="A91" s="144" t="s">
        <v>589</v>
      </c>
      <c r="B91" s="20">
        <f>+B92+B93+B94+B95+B96</f>
        <v>1895</v>
      </c>
      <c r="C91" s="20">
        <f>+C92+C93+C94+C95+C96</f>
        <v>254</v>
      </c>
      <c r="D91" s="20">
        <f>+D92+D93+D94+D95+D96</f>
        <v>1641</v>
      </c>
    </row>
    <row r="92" spans="1:4" ht="21.75" customHeight="1">
      <c r="A92" s="21" t="s">
        <v>690</v>
      </c>
      <c r="B92" s="20">
        <f>+C92+D92</f>
        <v>684</v>
      </c>
      <c r="C92" s="20">
        <v>73</v>
      </c>
      <c r="D92" s="20">
        <v>611</v>
      </c>
    </row>
    <row r="93" spans="1:4" ht="21.75" customHeight="1">
      <c r="A93" s="21" t="s">
        <v>678</v>
      </c>
      <c r="B93" s="20">
        <f>+C93+D93</f>
        <v>473</v>
      </c>
      <c r="C93" s="20">
        <v>65</v>
      </c>
      <c r="D93" s="20">
        <v>408</v>
      </c>
    </row>
    <row r="94" spans="1:4" ht="21.75" customHeight="1">
      <c r="A94" s="21" t="s">
        <v>689</v>
      </c>
      <c r="B94" s="20">
        <f>+C94+D94</f>
        <v>497</v>
      </c>
      <c r="C94" s="20">
        <v>73</v>
      </c>
      <c r="D94" s="20">
        <v>424</v>
      </c>
    </row>
    <row r="95" spans="1:4" ht="21.75" customHeight="1">
      <c r="A95" s="21" t="s">
        <v>676</v>
      </c>
      <c r="B95" s="20">
        <f>+C95+D95</f>
        <v>215</v>
      </c>
      <c r="C95" s="20">
        <v>32</v>
      </c>
      <c r="D95" s="20">
        <v>183</v>
      </c>
    </row>
    <row r="96" spans="1:4" ht="21.75" customHeight="1">
      <c r="A96" s="21" t="s">
        <v>1273</v>
      </c>
      <c r="B96" s="20">
        <f>+C96+D96</f>
        <v>26</v>
      </c>
      <c r="C96" s="20">
        <v>11</v>
      </c>
      <c r="D96" s="20">
        <v>15</v>
      </c>
    </row>
    <row r="97" spans="1:4" ht="21.75" customHeight="1">
      <c r="A97" s="144" t="s">
        <v>590</v>
      </c>
      <c r="B97" s="20">
        <f>+B98+B99</f>
        <v>2575</v>
      </c>
      <c r="C97" s="20">
        <f>+C98+C99</f>
        <v>245</v>
      </c>
      <c r="D97" s="20">
        <f>+D98+D99</f>
        <v>2330</v>
      </c>
    </row>
    <row r="98" spans="1:4" ht="21.75" customHeight="1">
      <c r="A98" s="21" t="s">
        <v>1224</v>
      </c>
      <c r="B98" s="20">
        <f>+C98+D98</f>
        <v>1</v>
      </c>
      <c r="C98" s="20">
        <v>0</v>
      </c>
      <c r="D98" s="20">
        <v>1</v>
      </c>
    </row>
    <row r="99" spans="1:4" ht="21.75" customHeight="1">
      <c r="A99" s="21" t="s">
        <v>604</v>
      </c>
      <c r="B99" s="20">
        <f>+C99+D99</f>
        <v>2574</v>
      </c>
      <c r="C99" s="20">
        <v>245</v>
      </c>
      <c r="D99" s="20">
        <v>2329</v>
      </c>
    </row>
    <row r="100" spans="1:4" ht="21.75" customHeight="1">
      <c r="A100" s="144" t="s">
        <v>645</v>
      </c>
      <c r="B100" s="20">
        <f>+B101+B102</f>
        <v>5781</v>
      </c>
      <c r="C100" s="20">
        <f>+C101+C102</f>
        <v>599</v>
      </c>
      <c r="D100" s="20">
        <f>+D101+D102</f>
        <v>5182</v>
      </c>
    </row>
    <row r="101" spans="1:4" ht="21.75" customHeight="1">
      <c r="A101" s="21" t="s">
        <v>691</v>
      </c>
      <c r="B101" s="20">
        <f>+C101+D101</f>
        <v>1228</v>
      </c>
      <c r="C101" s="20">
        <v>123</v>
      </c>
      <c r="D101" s="20">
        <v>1105</v>
      </c>
    </row>
    <row r="102" spans="1:4" ht="21.75" customHeight="1">
      <c r="A102" s="21" t="s">
        <v>680</v>
      </c>
      <c r="B102" s="20">
        <f>+C102+D102</f>
        <v>4553</v>
      </c>
      <c r="C102" s="20">
        <v>476</v>
      </c>
      <c r="D102" s="20">
        <v>4077</v>
      </c>
    </row>
    <row r="103" spans="1:4" ht="21.75" customHeight="1">
      <c r="A103" s="144" t="s">
        <v>640</v>
      </c>
      <c r="B103" s="20">
        <f>+B104+B105</f>
        <v>4978</v>
      </c>
      <c r="C103" s="20">
        <f>+C104+C105</f>
        <v>560</v>
      </c>
      <c r="D103" s="20">
        <f>+D104+D105</f>
        <v>4418</v>
      </c>
    </row>
    <row r="104" spans="1:4" ht="21.75" customHeight="1">
      <c r="A104" s="21" t="s">
        <v>746</v>
      </c>
      <c r="B104" s="20">
        <f>+C104+D104</f>
        <v>1678</v>
      </c>
      <c r="C104" s="20">
        <v>226</v>
      </c>
      <c r="D104" s="20">
        <v>1452</v>
      </c>
    </row>
    <row r="105" spans="1:4" ht="21.75" customHeight="1">
      <c r="A105" s="25" t="s">
        <v>1236</v>
      </c>
      <c r="B105" s="26">
        <f>+C105+D105</f>
        <v>3300</v>
      </c>
      <c r="C105" s="26">
        <v>334</v>
      </c>
      <c r="D105" s="26">
        <v>2966</v>
      </c>
    </row>
    <row r="106" spans="1:4" ht="21.75" customHeight="1">
      <c r="A106" s="45" t="s">
        <v>609</v>
      </c>
      <c r="B106" s="29">
        <f>+B91+B97+B100+B103</f>
        <v>15229</v>
      </c>
      <c r="C106" s="29">
        <f>+C91+C97+C100+C103</f>
        <v>1658</v>
      </c>
      <c r="D106" s="29">
        <f>+D91+D97+D100+D103</f>
        <v>13571</v>
      </c>
    </row>
    <row r="107" spans="1:4">
      <c r="A107" s="44"/>
      <c r="B107" s="44"/>
      <c r="C107" s="44"/>
      <c r="D107" s="44"/>
    </row>
  </sheetData>
  <sheetProtection algorithmName="SHA-512" hashValue="mGNjsKfr37ipYTE0TkzlrBU7vjLNCJViob61xExXBRKBxIC3o4fOyJ0WQU78C90EPVZZSjVl4KlN8dIZh43VMw==" saltValue="4GtpJhNgx2iGyfHckorn6Q==" spinCount="100000" sheet="1" objects="1" scenarios="1"/>
  <mergeCells count="5">
    <mergeCell ref="I40:O40"/>
    <mergeCell ref="B39:P39"/>
    <mergeCell ref="B40:H40"/>
    <mergeCell ref="A36:F36"/>
    <mergeCell ref="A35:F35"/>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96"/>
  <sheetViews>
    <sheetView showGridLines="0" showRuler="0" topLeftCell="A65" workbookViewId="0">
      <selection activeCell="K81" sqref="K81"/>
    </sheetView>
  </sheetViews>
  <sheetFormatPr baseColWidth="10" defaultColWidth="12.83203125" defaultRowHeight="13"/>
  <cols>
    <col min="1" max="1" width="55.1640625" customWidth="1"/>
    <col min="2" max="11" width="14.33203125" customWidth="1"/>
  </cols>
  <sheetData>
    <row r="1" spans="1:7" ht="21.75" customHeight="1">
      <c r="A1" s="134" t="s">
        <v>1274</v>
      </c>
      <c r="B1" s="365"/>
      <c r="C1" s="365"/>
      <c r="D1" s="365"/>
      <c r="E1" s="365"/>
      <c r="F1" s="365"/>
    </row>
    <row r="2" spans="1:7" ht="21.75" customHeight="1"/>
    <row r="3" spans="1:7" ht="21.75" customHeight="1">
      <c r="A3" s="134" t="s">
        <v>1275</v>
      </c>
      <c r="B3" s="764" t="s">
        <v>1276</v>
      </c>
      <c r="C3" s="764"/>
      <c r="D3" s="764" t="s">
        <v>1277</v>
      </c>
      <c r="E3" s="764"/>
      <c r="F3" s="764" t="s">
        <v>1202</v>
      </c>
      <c r="G3" s="764" t="s">
        <v>1278</v>
      </c>
    </row>
    <row r="4" spans="1:7" ht="21.75" customHeight="1">
      <c r="A4" s="134" t="s">
        <v>1279</v>
      </c>
      <c r="B4" s="177" t="s">
        <v>1241</v>
      </c>
      <c r="C4" s="177" t="s">
        <v>1242</v>
      </c>
      <c r="D4" s="177" t="s">
        <v>1280</v>
      </c>
      <c r="E4" s="177" t="s">
        <v>1281</v>
      </c>
      <c r="F4" s="764"/>
      <c r="G4" s="764"/>
    </row>
    <row r="5" spans="1:7" ht="21.75" customHeight="1">
      <c r="A5" s="21" t="s">
        <v>1282</v>
      </c>
      <c r="B5" s="625">
        <v>0</v>
      </c>
      <c r="C5" s="625">
        <v>0</v>
      </c>
      <c r="D5" s="20">
        <v>0</v>
      </c>
      <c r="E5" s="20">
        <v>0</v>
      </c>
      <c r="F5" s="20">
        <f t="shared" ref="F5:F12" si="0">SUM(D5:E5)</f>
        <v>0</v>
      </c>
      <c r="G5" s="20">
        <v>0</v>
      </c>
    </row>
    <row r="6" spans="1:7" ht="21.75" customHeight="1">
      <c r="A6" s="21" t="s">
        <v>1283</v>
      </c>
      <c r="B6" s="625">
        <v>0.23</v>
      </c>
      <c r="C6" s="625">
        <v>0.77</v>
      </c>
      <c r="D6" s="20">
        <v>3</v>
      </c>
      <c r="E6" s="20">
        <v>10</v>
      </c>
      <c r="F6" s="20">
        <f t="shared" si="0"/>
        <v>13</v>
      </c>
      <c r="G6" s="20">
        <v>0</v>
      </c>
    </row>
    <row r="7" spans="1:7" ht="21.75" customHeight="1">
      <c r="A7" s="21" t="s">
        <v>1284</v>
      </c>
      <c r="B7" s="625">
        <v>0.21</v>
      </c>
      <c r="C7" s="625">
        <v>0.79</v>
      </c>
      <c r="D7" s="20">
        <v>32</v>
      </c>
      <c r="E7" s="20">
        <v>117</v>
      </c>
      <c r="F7" s="20">
        <f t="shared" si="0"/>
        <v>149</v>
      </c>
      <c r="G7" s="20">
        <v>5</v>
      </c>
    </row>
    <row r="8" spans="1:7" ht="21.75" customHeight="1">
      <c r="A8" s="21" t="s">
        <v>1285</v>
      </c>
      <c r="B8" s="625">
        <v>0.28000000000000003</v>
      </c>
      <c r="C8" s="625">
        <v>0.72</v>
      </c>
      <c r="D8" s="20">
        <v>154</v>
      </c>
      <c r="E8" s="20">
        <v>387</v>
      </c>
      <c r="F8" s="20">
        <f t="shared" si="0"/>
        <v>541</v>
      </c>
      <c r="G8" s="20">
        <v>52</v>
      </c>
    </row>
    <row r="9" spans="1:7" ht="21.75" customHeight="1">
      <c r="A9" s="21" t="s">
        <v>1286</v>
      </c>
      <c r="B9" s="625">
        <v>0.2</v>
      </c>
      <c r="C9" s="625">
        <v>0.8</v>
      </c>
      <c r="D9" s="20">
        <v>594</v>
      </c>
      <c r="E9" s="20">
        <v>2383</v>
      </c>
      <c r="F9" s="20">
        <f t="shared" si="0"/>
        <v>2977</v>
      </c>
      <c r="G9" s="20">
        <v>291</v>
      </c>
    </row>
    <row r="10" spans="1:7" ht="21.75" customHeight="1">
      <c r="A10" s="21" t="s">
        <v>1287</v>
      </c>
      <c r="B10" s="625">
        <v>0.25</v>
      </c>
      <c r="C10" s="625">
        <v>0.75</v>
      </c>
      <c r="D10" s="20">
        <v>436</v>
      </c>
      <c r="E10" s="20">
        <v>1298</v>
      </c>
      <c r="F10" s="20">
        <f t="shared" si="0"/>
        <v>1734</v>
      </c>
      <c r="G10" s="20">
        <v>280</v>
      </c>
    </row>
    <row r="11" spans="1:7" ht="21.75" customHeight="1">
      <c r="A11" s="21" t="s">
        <v>1288</v>
      </c>
      <c r="B11" s="625">
        <v>0.35</v>
      </c>
      <c r="C11" s="625">
        <v>0.65</v>
      </c>
      <c r="D11" s="20">
        <v>268</v>
      </c>
      <c r="E11" s="20">
        <v>491</v>
      </c>
      <c r="F11" s="20">
        <f t="shared" si="0"/>
        <v>759</v>
      </c>
      <c r="G11" s="20">
        <v>206</v>
      </c>
    </row>
    <row r="12" spans="1:7" ht="21.75" customHeight="1">
      <c r="A12" s="21" t="s">
        <v>1259</v>
      </c>
      <c r="B12" s="607">
        <v>0.61</v>
      </c>
      <c r="C12" s="607">
        <v>0.39</v>
      </c>
      <c r="D12" s="75">
        <v>76</v>
      </c>
      <c r="E12" s="75">
        <v>48</v>
      </c>
      <c r="F12" s="75">
        <f t="shared" si="0"/>
        <v>124</v>
      </c>
      <c r="G12" s="75">
        <v>16</v>
      </c>
    </row>
    <row r="13" spans="1:7" ht="21.75" customHeight="1">
      <c r="A13" s="284" t="s">
        <v>609</v>
      </c>
      <c r="B13" s="638">
        <v>0.25</v>
      </c>
      <c r="C13" s="638">
        <v>0.75</v>
      </c>
      <c r="D13" s="405">
        <f>SUM(D5:D12)</f>
        <v>1563</v>
      </c>
      <c r="E13" s="405">
        <f>SUM(E5:E12)</f>
        <v>4734</v>
      </c>
      <c r="F13" s="405">
        <f>SUM(F5:F12)</f>
        <v>6297</v>
      </c>
      <c r="G13" s="405">
        <f>SUM(G5:G12)</f>
        <v>850</v>
      </c>
    </row>
    <row r="14" spans="1:7" ht="21.75" customHeight="1">
      <c r="A14" s="738" t="s">
        <v>1289</v>
      </c>
      <c r="B14" s="738"/>
      <c r="C14" s="738"/>
      <c r="D14" s="738"/>
      <c r="E14" s="738"/>
      <c r="F14" s="738"/>
      <c r="G14" s="738"/>
    </row>
    <row r="15" spans="1:7" ht="21.75" customHeight="1"/>
    <row r="16" spans="1:7" ht="21.75" customHeight="1">
      <c r="A16" s="134" t="s">
        <v>1290</v>
      </c>
      <c r="B16" s="411"/>
      <c r="C16" s="411"/>
      <c r="D16" s="411"/>
      <c r="E16" s="411"/>
      <c r="F16" s="411"/>
    </row>
    <row r="17" spans="1:8" ht="21.75" customHeight="1">
      <c r="A17" s="21" t="s">
        <v>1212</v>
      </c>
      <c r="B17" s="24" t="s">
        <v>1291</v>
      </c>
      <c r="C17" s="24" t="s">
        <v>1292</v>
      </c>
      <c r="D17" s="24" t="s">
        <v>1293</v>
      </c>
      <c r="E17" s="24" t="s">
        <v>1294</v>
      </c>
      <c r="F17" s="24" t="s">
        <v>1295</v>
      </c>
    </row>
    <row r="18" spans="1:8" ht="21.75" customHeight="1">
      <c r="A18" s="21" t="s">
        <v>1296</v>
      </c>
      <c r="B18" s="625">
        <v>6.0299999999999999E-2</v>
      </c>
      <c r="C18" s="228">
        <v>7.4999999999999997E-2</v>
      </c>
      <c r="D18" s="228">
        <v>0.1575</v>
      </c>
      <c r="E18" s="228">
        <v>0.49340000000000001</v>
      </c>
      <c r="F18" s="228">
        <v>0.21379999999999999</v>
      </c>
    </row>
    <row r="19" spans="1:8" ht="21.75" customHeight="1">
      <c r="A19" s="155" t="s">
        <v>1297</v>
      </c>
      <c r="B19" s="210">
        <v>380</v>
      </c>
      <c r="C19" s="210">
        <v>472</v>
      </c>
      <c r="D19" s="210">
        <v>992</v>
      </c>
      <c r="E19" s="210">
        <v>3107</v>
      </c>
      <c r="F19" s="210">
        <v>1346</v>
      </c>
    </row>
    <row r="20" spans="1:8" ht="21.75" customHeight="1">
      <c r="A20" s="19"/>
      <c r="B20" s="19"/>
      <c r="C20" s="19"/>
      <c r="D20" s="19"/>
      <c r="E20" s="19"/>
      <c r="F20" s="19"/>
    </row>
    <row r="21" spans="1:8" ht="21.75" customHeight="1">
      <c r="A21" s="134" t="s">
        <v>1298</v>
      </c>
      <c r="B21" s="365"/>
      <c r="C21" s="365"/>
      <c r="D21" s="365"/>
      <c r="E21" s="365"/>
      <c r="F21" s="365"/>
      <c r="G21" s="365"/>
      <c r="H21" s="365"/>
    </row>
    <row r="22" spans="1:8" ht="19.25" customHeight="1">
      <c r="A22" s="134" t="s">
        <v>1299</v>
      </c>
      <c r="B22" s="365"/>
      <c r="C22" s="365"/>
      <c r="D22" s="365"/>
      <c r="E22" s="365"/>
      <c r="F22" s="365"/>
      <c r="G22" s="365"/>
      <c r="H22" s="365"/>
    </row>
    <row r="23" spans="1:8" ht="31.75" customHeight="1">
      <c r="A23" s="258" t="s">
        <v>651</v>
      </c>
      <c r="B23" s="369" t="s">
        <v>589</v>
      </c>
      <c r="C23" s="369" t="s">
        <v>590</v>
      </c>
      <c r="D23" s="369" t="s">
        <v>1224</v>
      </c>
      <c r="E23" s="369" t="s">
        <v>645</v>
      </c>
      <c r="F23" s="369" t="s">
        <v>594</v>
      </c>
      <c r="G23" s="369" t="s">
        <v>1225</v>
      </c>
      <c r="H23" s="369" t="s">
        <v>609</v>
      </c>
    </row>
    <row r="24" spans="1:8" ht="21.75" customHeight="1">
      <c r="A24" s="45" t="s">
        <v>1300</v>
      </c>
      <c r="B24" s="29">
        <f t="shared" ref="B24:H24" si="1">SUM(B25:B26)</f>
        <v>13</v>
      </c>
      <c r="C24" s="29">
        <f t="shared" si="1"/>
        <v>6</v>
      </c>
      <c r="D24" s="29">
        <f t="shared" si="1"/>
        <v>36</v>
      </c>
      <c r="E24" s="29">
        <f t="shared" si="1"/>
        <v>7</v>
      </c>
      <c r="F24" s="29">
        <f t="shared" si="1"/>
        <v>7</v>
      </c>
      <c r="G24" s="29">
        <f t="shared" si="1"/>
        <v>2</v>
      </c>
      <c r="H24" s="29">
        <f t="shared" si="1"/>
        <v>71</v>
      </c>
    </row>
    <row r="25" spans="1:8" ht="21.75" customHeight="1">
      <c r="A25" s="19" t="s">
        <v>1301</v>
      </c>
      <c r="B25" s="69">
        <v>2</v>
      </c>
      <c r="C25" s="69">
        <v>0</v>
      </c>
      <c r="D25" s="69">
        <v>9</v>
      </c>
      <c r="E25" s="69">
        <v>2</v>
      </c>
      <c r="F25" s="69">
        <v>1</v>
      </c>
      <c r="G25" s="69">
        <v>0</v>
      </c>
      <c r="H25" s="69">
        <f>SUM(B25:G25)</f>
        <v>14</v>
      </c>
    </row>
    <row r="26" spans="1:8" ht="21.75" customHeight="1">
      <c r="A26" s="21" t="s">
        <v>1302</v>
      </c>
      <c r="B26" s="35">
        <v>11</v>
      </c>
      <c r="C26" s="35">
        <v>6</v>
      </c>
      <c r="D26" s="35">
        <v>27</v>
      </c>
      <c r="E26" s="35">
        <v>5</v>
      </c>
      <c r="F26" s="35">
        <v>6</v>
      </c>
      <c r="G26" s="35">
        <v>2</v>
      </c>
      <c r="H26" s="35">
        <f>SUM(B26:G26)</f>
        <v>57</v>
      </c>
    </row>
    <row r="27" spans="1:8" ht="21.75" customHeight="1">
      <c r="A27" s="25" t="s">
        <v>1296</v>
      </c>
      <c r="B27" s="639">
        <f>B25/B24</f>
        <v>0.15384615384615385</v>
      </c>
      <c r="C27" s="406">
        <v>0</v>
      </c>
      <c r="D27" s="639">
        <f>D25/D24</f>
        <v>0.25</v>
      </c>
      <c r="E27" s="639">
        <f>E25/E24</f>
        <v>0.2857142857142857</v>
      </c>
      <c r="F27" s="639">
        <f>F25/F24</f>
        <v>0.14285714285714285</v>
      </c>
      <c r="G27" s="406">
        <f>G25/G24</f>
        <v>0</v>
      </c>
      <c r="H27" s="639">
        <f>H25/H24</f>
        <v>0.19718309859154928</v>
      </c>
    </row>
    <row r="28" spans="1:8" ht="21.75" customHeight="1">
      <c r="A28" s="45" t="s">
        <v>1303</v>
      </c>
      <c r="B28" s="29">
        <f t="shared" ref="B28:H28" si="2">SUM(B29:B30)</f>
        <v>72</v>
      </c>
      <c r="C28" s="29">
        <f t="shared" si="2"/>
        <v>66</v>
      </c>
      <c r="D28" s="29">
        <f t="shared" si="2"/>
        <v>40</v>
      </c>
      <c r="E28" s="29">
        <f t="shared" si="2"/>
        <v>73</v>
      </c>
      <c r="F28" s="29">
        <f t="shared" si="2"/>
        <v>19</v>
      </c>
      <c r="G28" s="29">
        <f t="shared" si="2"/>
        <v>16</v>
      </c>
      <c r="H28" s="29">
        <f t="shared" si="2"/>
        <v>286</v>
      </c>
    </row>
    <row r="29" spans="1:8" ht="21.75" customHeight="1">
      <c r="A29" s="19" t="s">
        <v>1301</v>
      </c>
      <c r="B29" s="69">
        <v>21</v>
      </c>
      <c r="C29" s="69">
        <v>26</v>
      </c>
      <c r="D29" s="69">
        <v>15</v>
      </c>
      <c r="E29" s="69">
        <v>12</v>
      </c>
      <c r="F29" s="69">
        <v>0</v>
      </c>
      <c r="G29" s="69">
        <v>2</v>
      </c>
      <c r="H29" s="69">
        <f>SUM(B29:G29)</f>
        <v>76</v>
      </c>
    </row>
    <row r="30" spans="1:8" ht="21.75" customHeight="1">
      <c r="A30" s="21" t="s">
        <v>1302</v>
      </c>
      <c r="B30" s="35">
        <v>51</v>
      </c>
      <c r="C30" s="35">
        <v>40</v>
      </c>
      <c r="D30" s="35">
        <v>25</v>
      </c>
      <c r="E30" s="35">
        <v>61</v>
      </c>
      <c r="F30" s="35">
        <v>19</v>
      </c>
      <c r="G30" s="35">
        <v>14</v>
      </c>
      <c r="H30" s="35">
        <f>SUM(B30:G30)</f>
        <v>210</v>
      </c>
    </row>
    <row r="31" spans="1:8" ht="21.75" customHeight="1">
      <c r="A31" s="25" t="s">
        <v>1304</v>
      </c>
      <c r="B31" s="639">
        <f t="shared" ref="B31:H31" si="3">B29/B28</f>
        <v>0.29166666666666669</v>
      </c>
      <c r="C31" s="639">
        <f t="shared" si="3"/>
        <v>0.39393939393939392</v>
      </c>
      <c r="D31" s="639">
        <f t="shared" si="3"/>
        <v>0.375</v>
      </c>
      <c r="E31" s="639">
        <f t="shared" si="3"/>
        <v>0.16438356164383561</v>
      </c>
      <c r="F31" s="406">
        <f t="shared" si="3"/>
        <v>0</v>
      </c>
      <c r="G31" s="407">
        <f t="shared" si="3"/>
        <v>0.125</v>
      </c>
      <c r="H31" s="639">
        <f t="shared" si="3"/>
        <v>0.26573426573426573</v>
      </c>
    </row>
    <row r="32" spans="1:8" ht="21.75" customHeight="1">
      <c r="A32" s="45" t="s">
        <v>1253</v>
      </c>
      <c r="B32" s="29">
        <f t="shared" ref="B32:H32" si="4">SUM(B33:B34)</f>
        <v>158</v>
      </c>
      <c r="C32" s="29">
        <f t="shared" si="4"/>
        <v>78</v>
      </c>
      <c r="D32" s="29">
        <f t="shared" si="4"/>
        <v>18</v>
      </c>
      <c r="E32" s="29">
        <f t="shared" si="4"/>
        <v>1</v>
      </c>
      <c r="F32" s="29">
        <f t="shared" si="4"/>
        <v>43</v>
      </c>
      <c r="G32" s="29">
        <f t="shared" si="4"/>
        <v>46</v>
      </c>
      <c r="H32" s="29">
        <f t="shared" si="4"/>
        <v>344</v>
      </c>
    </row>
    <row r="33" spans="1:8" ht="21.75" customHeight="1">
      <c r="A33" s="115" t="s">
        <v>1241</v>
      </c>
      <c r="B33" s="69">
        <v>47</v>
      </c>
      <c r="C33" s="69">
        <v>23</v>
      </c>
      <c r="D33" s="69">
        <v>12</v>
      </c>
      <c r="E33" s="69">
        <v>0</v>
      </c>
      <c r="F33" s="69">
        <v>9</v>
      </c>
      <c r="G33" s="69">
        <v>8</v>
      </c>
      <c r="H33" s="69">
        <f>SUM(B33:G33)</f>
        <v>99</v>
      </c>
    </row>
    <row r="34" spans="1:8" ht="21.75" customHeight="1">
      <c r="A34" s="144" t="s">
        <v>1305</v>
      </c>
      <c r="B34" s="35">
        <v>111</v>
      </c>
      <c r="C34" s="35">
        <v>55</v>
      </c>
      <c r="D34" s="35">
        <v>6</v>
      </c>
      <c r="E34" s="35">
        <v>1</v>
      </c>
      <c r="F34" s="35">
        <v>34</v>
      </c>
      <c r="G34" s="35">
        <v>38</v>
      </c>
      <c r="H34" s="35">
        <f>SUM(B34:G34)</f>
        <v>245</v>
      </c>
    </row>
    <row r="35" spans="1:8" ht="21.75" customHeight="1">
      <c r="A35" s="25" t="s">
        <v>1304</v>
      </c>
      <c r="B35" s="639">
        <f t="shared" ref="B35:H35" si="5">B33/B32</f>
        <v>0.29746835443037972</v>
      </c>
      <c r="C35" s="639">
        <f t="shared" si="5"/>
        <v>0.29487179487179488</v>
      </c>
      <c r="D35" s="639">
        <f t="shared" si="5"/>
        <v>0.66666666666666663</v>
      </c>
      <c r="E35" s="639">
        <f t="shared" si="5"/>
        <v>0</v>
      </c>
      <c r="F35" s="639">
        <f t="shared" si="5"/>
        <v>0.20930232558139536</v>
      </c>
      <c r="G35" s="639">
        <f t="shared" si="5"/>
        <v>0.17391304347826086</v>
      </c>
      <c r="H35" s="639">
        <f t="shared" si="5"/>
        <v>0.28779069767441862</v>
      </c>
    </row>
    <row r="36" spans="1:8" ht="21.75" customHeight="1">
      <c r="A36" s="45" t="s">
        <v>1306</v>
      </c>
      <c r="B36" s="29">
        <f t="shared" ref="B36:H36" si="6">SUM(B37:B38)</f>
        <v>1636</v>
      </c>
      <c r="C36" s="29">
        <f t="shared" si="6"/>
        <v>2353</v>
      </c>
      <c r="D36" s="29">
        <f t="shared" si="6"/>
        <v>28</v>
      </c>
      <c r="E36" s="29">
        <f t="shared" si="6"/>
        <v>742</v>
      </c>
      <c r="F36" s="29">
        <f t="shared" si="6"/>
        <v>304</v>
      </c>
      <c r="G36" s="29">
        <f t="shared" si="6"/>
        <v>407</v>
      </c>
      <c r="H36" s="29">
        <f t="shared" si="6"/>
        <v>5470</v>
      </c>
    </row>
    <row r="37" spans="1:8" ht="21.75" customHeight="1">
      <c r="A37" s="19" t="s">
        <v>1301</v>
      </c>
      <c r="B37" s="69">
        <v>392</v>
      </c>
      <c r="C37" s="69">
        <v>623</v>
      </c>
      <c r="D37" s="69">
        <v>21</v>
      </c>
      <c r="E37" s="69">
        <v>82</v>
      </c>
      <c r="F37" s="69">
        <v>67</v>
      </c>
      <c r="G37" s="69">
        <v>113</v>
      </c>
      <c r="H37" s="69">
        <f>SUM(B37:G37)</f>
        <v>1298</v>
      </c>
    </row>
    <row r="38" spans="1:8" ht="21.75" customHeight="1">
      <c r="A38" s="21" t="s">
        <v>1302</v>
      </c>
      <c r="B38" s="35">
        <v>1244</v>
      </c>
      <c r="C38" s="35">
        <v>1730</v>
      </c>
      <c r="D38" s="35">
        <v>7</v>
      </c>
      <c r="E38" s="35">
        <v>660</v>
      </c>
      <c r="F38" s="35">
        <v>237</v>
      </c>
      <c r="G38" s="35">
        <v>294</v>
      </c>
      <c r="H38" s="35">
        <f>SUM(B38:G38)</f>
        <v>4172</v>
      </c>
    </row>
    <row r="39" spans="1:8" ht="21.75" customHeight="1">
      <c r="A39" s="25" t="s">
        <v>1304</v>
      </c>
      <c r="B39" s="639">
        <f t="shared" ref="B39:H39" si="7">B37/B36</f>
        <v>0.23960880195599021</v>
      </c>
      <c r="C39" s="639">
        <f t="shared" si="7"/>
        <v>0.26476838079048026</v>
      </c>
      <c r="D39" s="639">
        <f t="shared" si="7"/>
        <v>0.75</v>
      </c>
      <c r="E39" s="639">
        <f t="shared" si="7"/>
        <v>0.11051212938005391</v>
      </c>
      <c r="F39" s="639">
        <f t="shared" si="7"/>
        <v>0.22039473684210525</v>
      </c>
      <c r="G39" s="639">
        <f t="shared" si="7"/>
        <v>0.27764127764127766</v>
      </c>
      <c r="H39" s="639">
        <f t="shared" si="7"/>
        <v>0.23729433272394881</v>
      </c>
    </row>
    <row r="40" spans="1:8" ht="21.75" customHeight="1">
      <c r="A40" s="45" t="s">
        <v>1307</v>
      </c>
      <c r="B40" s="29">
        <f t="shared" ref="B40:H40" si="8">SUM(B41:B42)</f>
        <v>0</v>
      </c>
      <c r="C40" s="29">
        <f t="shared" si="8"/>
        <v>0</v>
      </c>
      <c r="D40" s="29">
        <f t="shared" si="8"/>
        <v>11</v>
      </c>
      <c r="E40" s="29">
        <f t="shared" si="8"/>
        <v>0</v>
      </c>
      <c r="F40" s="29">
        <f t="shared" si="8"/>
        <v>0</v>
      </c>
      <c r="G40" s="29">
        <f t="shared" si="8"/>
        <v>0</v>
      </c>
      <c r="H40" s="29">
        <f t="shared" si="8"/>
        <v>11</v>
      </c>
    </row>
    <row r="41" spans="1:8" ht="21.75" customHeight="1">
      <c r="A41" s="19" t="s">
        <v>1301</v>
      </c>
      <c r="B41" s="69">
        <v>0</v>
      </c>
      <c r="C41" s="69">
        <v>0</v>
      </c>
      <c r="D41" s="69">
        <v>3</v>
      </c>
      <c r="E41" s="69">
        <v>0</v>
      </c>
      <c r="F41" s="69">
        <v>0</v>
      </c>
      <c r="G41" s="69">
        <v>0</v>
      </c>
      <c r="H41" s="69">
        <f>SUM(B41:G41)</f>
        <v>3</v>
      </c>
    </row>
    <row r="42" spans="1:8" ht="21.75" customHeight="1">
      <c r="A42" s="21" t="s">
        <v>1302</v>
      </c>
      <c r="B42" s="35">
        <v>0</v>
      </c>
      <c r="C42" s="35">
        <v>0</v>
      </c>
      <c r="D42" s="35">
        <v>8</v>
      </c>
      <c r="E42" s="35">
        <v>0</v>
      </c>
      <c r="F42" s="35">
        <v>0</v>
      </c>
      <c r="G42" s="35">
        <v>0</v>
      </c>
      <c r="H42" s="35">
        <f>SUM(B42:G42)</f>
        <v>8</v>
      </c>
    </row>
    <row r="43" spans="1:8" ht="21.75" customHeight="1">
      <c r="A43" s="25" t="s">
        <v>1304</v>
      </c>
      <c r="B43" s="406">
        <v>0</v>
      </c>
      <c r="C43" s="406">
        <v>0</v>
      </c>
      <c r="D43" s="639">
        <f>D41/D40</f>
        <v>0.27272727272727271</v>
      </c>
      <c r="E43" s="406">
        <v>0</v>
      </c>
      <c r="F43" s="406">
        <v>0</v>
      </c>
      <c r="G43" s="406">
        <v>0</v>
      </c>
      <c r="H43" s="639">
        <f>H41/H40</f>
        <v>0.27272727272727271</v>
      </c>
    </row>
    <row r="44" spans="1:8" ht="21.75" customHeight="1">
      <c r="A44" s="45" t="s">
        <v>1308</v>
      </c>
      <c r="B44" s="29">
        <f t="shared" ref="B44:H44" si="9">SUM(B45:B46)</f>
        <v>0</v>
      </c>
      <c r="C44" s="29">
        <f t="shared" si="9"/>
        <v>79</v>
      </c>
      <c r="D44" s="29">
        <f t="shared" si="9"/>
        <v>0</v>
      </c>
      <c r="E44" s="29">
        <f t="shared" si="9"/>
        <v>0</v>
      </c>
      <c r="F44" s="29">
        <f t="shared" si="9"/>
        <v>45</v>
      </c>
      <c r="G44" s="29">
        <f t="shared" si="9"/>
        <v>0</v>
      </c>
      <c r="H44" s="29">
        <f t="shared" si="9"/>
        <v>124</v>
      </c>
    </row>
    <row r="45" spans="1:8" ht="21.75" customHeight="1">
      <c r="A45" s="19" t="s">
        <v>1301</v>
      </c>
      <c r="B45" s="69">
        <v>0</v>
      </c>
      <c r="C45" s="69">
        <v>44</v>
      </c>
      <c r="D45" s="69">
        <v>0</v>
      </c>
      <c r="E45" s="69">
        <v>0</v>
      </c>
      <c r="F45" s="69">
        <v>32</v>
      </c>
      <c r="G45" s="69">
        <v>0</v>
      </c>
      <c r="H45" s="69">
        <f>SUM(B45:G45)</f>
        <v>76</v>
      </c>
    </row>
    <row r="46" spans="1:8" ht="21.75" customHeight="1">
      <c r="A46" s="21" t="s">
        <v>1302</v>
      </c>
      <c r="B46" s="35">
        <v>0</v>
      </c>
      <c r="C46" s="35">
        <v>35</v>
      </c>
      <c r="D46" s="35">
        <v>0</v>
      </c>
      <c r="E46" s="35">
        <v>0</v>
      </c>
      <c r="F46" s="35">
        <v>13</v>
      </c>
      <c r="G46" s="35">
        <v>0</v>
      </c>
      <c r="H46" s="35">
        <f>SUM(B46:G46)</f>
        <v>48</v>
      </c>
    </row>
    <row r="47" spans="1:8" ht="21.75" customHeight="1">
      <c r="A47" s="25" t="s">
        <v>1304</v>
      </c>
      <c r="B47" s="406">
        <v>0</v>
      </c>
      <c r="C47" s="639">
        <f>C45/C44</f>
        <v>0.55696202531645567</v>
      </c>
      <c r="D47" s="406">
        <v>0</v>
      </c>
      <c r="E47" s="406">
        <v>0</v>
      </c>
      <c r="F47" s="406">
        <f>F45/F44</f>
        <v>0.71111111111111114</v>
      </c>
      <c r="G47" s="406">
        <v>0</v>
      </c>
      <c r="H47" s="406">
        <f>H45/H44</f>
        <v>0.61290322580645162</v>
      </c>
    </row>
    <row r="48" spans="1:8" ht="21.75" customHeight="1">
      <c r="A48" s="45" t="s">
        <v>1309</v>
      </c>
      <c r="B48" s="29">
        <f t="shared" ref="B48:G48" si="10">+B25+B29+B33+B37+B45</f>
        <v>462</v>
      </c>
      <c r="C48" s="29">
        <f t="shared" si="10"/>
        <v>716</v>
      </c>
      <c r="D48" s="29">
        <f t="shared" si="10"/>
        <v>57</v>
      </c>
      <c r="E48" s="29">
        <f t="shared" si="10"/>
        <v>96</v>
      </c>
      <c r="F48" s="29">
        <f t="shared" si="10"/>
        <v>109</v>
      </c>
      <c r="G48" s="29">
        <f t="shared" si="10"/>
        <v>123</v>
      </c>
      <c r="H48" s="29">
        <f>SUM(B48:G48)</f>
        <v>1563</v>
      </c>
    </row>
    <row r="49" spans="1:8" ht="21.75" customHeight="1">
      <c r="A49" s="46" t="s">
        <v>1310</v>
      </c>
      <c r="B49" s="270">
        <f t="shared" ref="B49:G49" si="11">+B25+B26+B29+B30+B33+B34+B37+B38+B41+B42+B45+B46</f>
        <v>1879</v>
      </c>
      <c r="C49" s="270">
        <f t="shared" si="11"/>
        <v>2582</v>
      </c>
      <c r="D49" s="270">
        <f t="shared" si="11"/>
        <v>133</v>
      </c>
      <c r="E49" s="270">
        <f t="shared" si="11"/>
        <v>823</v>
      </c>
      <c r="F49" s="270">
        <f t="shared" si="11"/>
        <v>418</v>
      </c>
      <c r="G49" s="270">
        <f t="shared" si="11"/>
        <v>471</v>
      </c>
      <c r="H49" s="184">
        <f>SUM(B49:G49)</f>
        <v>6306</v>
      </c>
    </row>
    <row r="50" spans="1:8" ht="21.75" customHeight="1">
      <c r="A50" s="46" t="s">
        <v>1311</v>
      </c>
      <c r="B50" s="270">
        <f t="shared" ref="B50:G50" si="12">+B48+B41</f>
        <v>462</v>
      </c>
      <c r="C50" s="270">
        <f t="shared" si="12"/>
        <v>716</v>
      </c>
      <c r="D50" s="270">
        <f t="shared" si="12"/>
        <v>60</v>
      </c>
      <c r="E50" s="270">
        <f t="shared" si="12"/>
        <v>96</v>
      </c>
      <c r="F50" s="270">
        <f t="shared" si="12"/>
        <v>109</v>
      </c>
      <c r="G50" s="270">
        <f t="shared" si="12"/>
        <v>123</v>
      </c>
      <c r="H50" s="270">
        <f>SUM(B50:G50)</f>
        <v>1566</v>
      </c>
    </row>
    <row r="51" spans="1:8" ht="21.75" customHeight="1">
      <c r="A51" s="115"/>
      <c r="B51" s="115"/>
      <c r="C51" s="115"/>
      <c r="D51" s="115"/>
      <c r="E51" s="115"/>
      <c r="F51" s="115"/>
      <c r="G51" s="115"/>
      <c r="H51" s="115"/>
    </row>
    <row r="52" spans="1:8" ht="30" customHeight="1">
      <c r="A52" s="134" t="s">
        <v>651</v>
      </c>
      <c r="B52" s="177" t="s">
        <v>1312</v>
      </c>
      <c r="C52" s="177" t="s">
        <v>1313</v>
      </c>
      <c r="D52" s="177" t="s">
        <v>1314</v>
      </c>
      <c r="E52" s="177" t="s">
        <v>1315</v>
      </c>
      <c r="F52" s="177" t="s">
        <v>1316</v>
      </c>
    </row>
    <row r="53" spans="1:8" ht="21.75" customHeight="1">
      <c r="A53" s="21" t="s">
        <v>638</v>
      </c>
      <c r="B53" s="20">
        <v>462</v>
      </c>
      <c r="C53" s="20">
        <v>242</v>
      </c>
      <c r="D53" s="267">
        <f t="shared" ref="D53:D59" si="13">C53/B53</f>
        <v>0.52380952380952384</v>
      </c>
      <c r="E53" s="267">
        <v>0.28810000000000002</v>
      </c>
      <c r="F53" s="267">
        <v>0.24590000000000001</v>
      </c>
    </row>
    <row r="54" spans="1:8" ht="21.75" customHeight="1">
      <c r="A54" s="21" t="s">
        <v>590</v>
      </c>
      <c r="B54" s="20">
        <v>716</v>
      </c>
      <c r="C54" s="20">
        <v>462</v>
      </c>
      <c r="D54" s="267">
        <f t="shared" si="13"/>
        <v>0.64525139664804465</v>
      </c>
      <c r="E54" s="267">
        <v>0.32669999999999999</v>
      </c>
      <c r="F54" s="267">
        <v>0.27729999999999999</v>
      </c>
    </row>
    <row r="55" spans="1:8" ht="21.75" customHeight="1">
      <c r="A55" s="21" t="s">
        <v>591</v>
      </c>
      <c r="B55" s="20">
        <v>57</v>
      </c>
      <c r="C55" s="20">
        <v>3</v>
      </c>
      <c r="D55" s="267">
        <f t="shared" si="13"/>
        <v>5.2631578947368418E-2</v>
      </c>
      <c r="E55" s="267">
        <v>0.375</v>
      </c>
      <c r="F55" s="267">
        <v>0.4597</v>
      </c>
    </row>
    <row r="56" spans="1:8" ht="21.75" customHeight="1">
      <c r="A56" s="21" t="s">
        <v>593</v>
      </c>
      <c r="B56" s="20">
        <v>96</v>
      </c>
      <c r="C56" s="20">
        <v>38</v>
      </c>
      <c r="D56" s="267">
        <f t="shared" si="13"/>
        <v>0.39583333333333331</v>
      </c>
      <c r="E56" s="267">
        <v>0.17280000000000001</v>
      </c>
      <c r="F56" s="267">
        <v>0.1166</v>
      </c>
    </row>
    <row r="57" spans="1:8" ht="21.75" customHeight="1">
      <c r="A57" s="21" t="s">
        <v>594</v>
      </c>
      <c r="B57" s="20">
        <v>109</v>
      </c>
      <c r="C57" s="20">
        <v>33</v>
      </c>
      <c r="D57" s="267">
        <f t="shared" si="13"/>
        <v>0.30275229357798167</v>
      </c>
      <c r="E57" s="267">
        <v>0.1449</v>
      </c>
      <c r="F57" s="267">
        <v>0.26079999999999998</v>
      </c>
    </row>
    <row r="58" spans="1:8" ht="21.75" customHeight="1">
      <c r="A58" s="25" t="s">
        <v>1225</v>
      </c>
      <c r="B58" s="26">
        <v>123</v>
      </c>
      <c r="C58" s="26">
        <v>72</v>
      </c>
      <c r="D58" s="400">
        <f t="shared" si="13"/>
        <v>0.58536585365853655</v>
      </c>
      <c r="E58" s="275">
        <v>0.15629999999999999</v>
      </c>
      <c r="F58" s="400">
        <v>0.2611</v>
      </c>
    </row>
    <row r="59" spans="1:8" ht="21.75" customHeight="1">
      <c r="A59" s="45" t="s">
        <v>609</v>
      </c>
      <c r="B59" s="268">
        <f>SUM(B53:B58)</f>
        <v>1563</v>
      </c>
      <c r="C59" s="268">
        <f>SUM(C53:C58)</f>
        <v>850</v>
      </c>
      <c r="D59" s="408">
        <f t="shared" si="13"/>
        <v>0.54382597568777991</v>
      </c>
      <c r="E59" s="409">
        <v>0.26879999999999998</v>
      </c>
      <c r="F59" s="401">
        <v>0.2482</v>
      </c>
    </row>
    <row r="60" spans="1:8" ht="14.25" customHeight="1">
      <c r="A60" s="738" t="s">
        <v>1317</v>
      </c>
      <c r="B60" s="738"/>
      <c r="C60" s="738"/>
      <c r="D60" s="738"/>
      <c r="E60" s="738"/>
      <c r="F60" s="220"/>
    </row>
    <row r="61" spans="1:8" ht="33.25" customHeight="1">
      <c r="A61" s="740" t="s">
        <v>1318</v>
      </c>
      <c r="B61" s="685"/>
      <c r="C61" s="685"/>
      <c r="D61" s="685"/>
      <c r="E61" s="685"/>
    </row>
    <row r="62" spans="1:8" ht="21.75" customHeight="1"/>
    <row r="63" spans="1:8" ht="40" customHeight="1">
      <c r="A63" s="134" t="s">
        <v>1319</v>
      </c>
      <c r="B63" s="177" t="s">
        <v>1320</v>
      </c>
      <c r="C63" s="177" t="s">
        <v>1321</v>
      </c>
      <c r="D63" s="43"/>
      <c r="E63" s="412"/>
      <c r="F63" s="412"/>
      <c r="G63" s="412"/>
    </row>
    <row r="64" spans="1:8" ht="21.75" customHeight="1">
      <c r="A64" s="410">
        <v>4.54</v>
      </c>
      <c r="B64" s="195">
        <v>54</v>
      </c>
      <c r="C64" s="195">
        <v>67.44</v>
      </c>
      <c r="D64" s="43"/>
      <c r="E64" s="412"/>
      <c r="F64" s="412"/>
      <c r="G64" s="412"/>
    </row>
    <row r="65" spans="1:7" ht="21.75" customHeight="1">
      <c r="A65" s="30" t="s">
        <v>1322</v>
      </c>
      <c r="B65" s="30"/>
      <c r="C65" s="30"/>
      <c r="D65" s="31"/>
      <c r="E65" s="413"/>
      <c r="F65" s="413"/>
    </row>
    <row r="66" spans="1:7" ht="21.75" customHeight="1">
      <c r="A66" s="51" t="s">
        <v>1323</v>
      </c>
      <c r="D66" s="31"/>
      <c r="E66" s="413"/>
      <c r="F66" s="413"/>
    </row>
    <row r="67" spans="1:7" ht="21.75" customHeight="1"/>
    <row r="68" spans="1:7" ht="21.75" customHeight="1">
      <c r="A68" s="134" t="s">
        <v>1324</v>
      </c>
      <c r="B68" s="135">
        <v>2023</v>
      </c>
      <c r="C68" s="135">
        <v>2022</v>
      </c>
      <c r="D68" s="135">
        <v>2021</v>
      </c>
      <c r="E68" s="135">
        <v>2020</v>
      </c>
      <c r="F68" s="135">
        <v>2019</v>
      </c>
      <c r="G68" s="135">
        <v>2018</v>
      </c>
    </row>
    <row r="69" spans="1:7" ht="21.75" customHeight="1">
      <c r="A69" s="21" t="s">
        <v>1325</v>
      </c>
      <c r="B69" s="35">
        <v>25</v>
      </c>
      <c r="C69" s="20">
        <v>23.39</v>
      </c>
      <c r="D69" s="20">
        <v>22</v>
      </c>
      <c r="E69" s="20">
        <v>21</v>
      </c>
      <c r="F69" s="20">
        <v>20</v>
      </c>
      <c r="G69" s="20">
        <v>19.3</v>
      </c>
    </row>
    <row r="70" spans="1:7" ht="21.75" customHeight="1">
      <c r="A70" s="21" t="s">
        <v>1326</v>
      </c>
      <c r="B70" s="35">
        <v>27</v>
      </c>
      <c r="C70" s="20">
        <v>22.64</v>
      </c>
      <c r="D70" s="20">
        <v>20</v>
      </c>
      <c r="E70" s="20">
        <v>20</v>
      </c>
      <c r="F70" s="20">
        <v>20</v>
      </c>
      <c r="G70" s="20">
        <v>21.5</v>
      </c>
    </row>
    <row r="71" spans="1:7" ht="21.75" customHeight="1">
      <c r="A71" s="155" t="s">
        <v>1327</v>
      </c>
      <c r="B71" s="210">
        <v>19</v>
      </c>
      <c r="C71" s="210">
        <v>17.809999999999999</v>
      </c>
      <c r="D71" s="210">
        <v>14</v>
      </c>
      <c r="E71" s="210">
        <v>13</v>
      </c>
      <c r="F71" s="210">
        <v>14</v>
      </c>
      <c r="G71" s="210">
        <v>16.2</v>
      </c>
    </row>
    <row r="72" spans="1:7" ht="21.75" customHeight="1">
      <c r="A72" s="19"/>
      <c r="B72" s="115"/>
      <c r="C72" s="115"/>
      <c r="D72" s="19"/>
      <c r="E72" s="19"/>
      <c r="F72" s="19"/>
      <c r="G72" s="19"/>
    </row>
    <row r="73" spans="1:7" ht="21.75" customHeight="1">
      <c r="A73" s="134" t="s">
        <v>1261</v>
      </c>
      <c r="B73" s="411"/>
      <c r="C73" s="411"/>
      <c r="D73" s="411"/>
      <c r="E73" s="411"/>
      <c r="F73" s="411"/>
    </row>
    <row r="74" spans="1:7" ht="21.75" customHeight="1">
      <c r="A74" s="134" t="s">
        <v>1328</v>
      </c>
      <c r="B74" s="135">
        <v>2023</v>
      </c>
      <c r="C74" s="135">
        <v>2022</v>
      </c>
      <c r="D74" s="135">
        <v>2021</v>
      </c>
      <c r="E74" s="135">
        <v>2020</v>
      </c>
      <c r="F74" s="135">
        <v>2019</v>
      </c>
      <c r="G74" s="135">
        <v>2018</v>
      </c>
    </row>
    <row r="75" spans="1:7" ht="21.75" customHeight="1">
      <c r="A75" s="21" t="s">
        <v>1329</v>
      </c>
      <c r="B75" s="625">
        <v>0.75470000000000004</v>
      </c>
      <c r="C75" s="625">
        <v>0.76739999999999997</v>
      </c>
      <c r="D75" s="625">
        <v>0.76759999999999995</v>
      </c>
      <c r="E75" s="625">
        <v>0.78</v>
      </c>
      <c r="F75" s="228">
        <v>0.97699999999999998</v>
      </c>
      <c r="G75" s="223">
        <v>1</v>
      </c>
    </row>
    <row r="76" spans="1:7" ht="21.75" customHeight="1">
      <c r="A76" s="21" t="s">
        <v>590</v>
      </c>
      <c r="B76" s="625">
        <v>0.88300000000000001</v>
      </c>
      <c r="C76" s="625">
        <v>0.87290000000000001</v>
      </c>
      <c r="D76" s="625">
        <v>0.85499999999999998</v>
      </c>
      <c r="E76" s="625">
        <v>0.84</v>
      </c>
      <c r="F76" s="625">
        <v>0.84</v>
      </c>
      <c r="G76" s="625">
        <v>0.85</v>
      </c>
    </row>
    <row r="77" spans="1:7" ht="21.75" customHeight="1">
      <c r="A77" s="21" t="s">
        <v>591</v>
      </c>
      <c r="B77" s="625">
        <v>0.6774</v>
      </c>
      <c r="C77" s="625">
        <v>0.72729999999999995</v>
      </c>
      <c r="D77" s="625">
        <v>0.72270000000000001</v>
      </c>
      <c r="E77" s="625">
        <v>0.75</v>
      </c>
      <c r="F77" s="24" t="s">
        <v>1330</v>
      </c>
      <c r="G77" s="24" t="s">
        <v>1330</v>
      </c>
    </row>
    <row r="78" spans="1:7" ht="21.75" customHeight="1">
      <c r="A78" s="21" t="s">
        <v>645</v>
      </c>
      <c r="B78" s="625">
        <v>0.99509999999999998</v>
      </c>
      <c r="C78" s="625">
        <v>0.99529999999999996</v>
      </c>
      <c r="D78" s="625">
        <v>0.99280000000000002</v>
      </c>
      <c r="E78" s="625">
        <v>0.99</v>
      </c>
      <c r="F78" s="625">
        <v>0.97</v>
      </c>
      <c r="G78" s="625">
        <v>0.98609999999999998</v>
      </c>
    </row>
    <row r="79" spans="1:7" ht="21.75" customHeight="1">
      <c r="A79" s="21" t="s">
        <v>640</v>
      </c>
      <c r="B79" s="625">
        <v>0.97189999999999999</v>
      </c>
      <c r="C79" s="625">
        <v>0.97950000000000004</v>
      </c>
      <c r="D79" s="625">
        <v>0.98</v>
      </c>
      <c r="E79" s="625">
        <v>0.98</v>
      </c>
      <c r="F79" s="24" t="s">
        <v>1330</v>
      </c>
      <c r="G79" s="24" t="s">
        <v>1330</v>
      </c>
    </row>
    <row r="80" spans="1:7" ht="21.75" customHeight="1">
      <c r="A80" s="21" t="s">
        <v>594</v>
      </c>
      <c r="B80" s="625">
        <v>0.99760000000000004</v>
      </c>
      <c r="C80" s="625">
        <v>0.99509999999999998</v>
      </c>
      <c r="D80" s="625">
        <v>0.99519999999999997</v>
      </c>
      <c r="E80" s="625">
        <v>1</v>
      </c>
      <c r="F80" s="625">
        <v>1</v>
      </c>
      <c r="G80" s="625">
        <v>1</v>
      </c>
    </row>
    <row r="81" spans="1:8" ht="21.75" customHeight="1">
      <c r="A81" s="21" t="s">
        <v>1331</v>
      </c>
      <c r="B81" s="625">
        <v>0.94899999999999995</v>
      </c>
      <c r="C81" s="625">
        <v>0.96389999999999998</v>
      </c>
      <c r="D81" s="625">
        <v>0.94640000000000002</v>
      </c>
      <c r="E81" s="625">
        <v>0.93</v>
      </c>
      <c r="F81" s="24" t="s">
        <v>1330</v>
      </c>
      <c r="G81" s="24" t="s">
        <v>1330</v>
      </c>
    </row>
    <row r="82" spans="1:8" ht="21.75" customHeight="1">
      <c r="A82" s="21" t="s">
        <v>672</v>
      </c>
      <c r="B82" s="625">
        <v>0.8679</v>
      </c>
      <c r="C82" s="625">
        <v>0.87339999999999995</v>
      </c>
      <c r="D82" s="625">
        <v>0.86519999999999997</v>
      </c>
      <c r="E82" s="625">
        <v>0.86</v>
      </c>
      <c r="F82" s="625">
        <v>0.95</v>
      </c>
      <c r="G82" s="625">
        <v>0.96</v>
      </c>
    </row>
    <row r="83" spans="1:8" ht="21.75" customHeight="1">
      <c r="A83" s="155" t="s">
        <v>1332</v>
      </c>
      <c r="B83" s="627">
        <v>0.91890000000000005</v>
      </c>
      <c r="C83" s="627">
        <v>0.86150000000000004</v>
      </c>
      <c r="D83" s="627">
        <v>0.82</v>
      </c>
      <c r="E83" s="627">
        <v>0.89</v>
      </c>
    </row>
    <row r="84" spans="1:8" ht="21.75" customHeight="1">
      <c r="A84" s="738" t="s">
        <v>1333</v>
      </c>
      <c r="B84" s="738"/>
      <c r="C84" s="738"/>
      <c r="D84" s="414"/>
      <c r="E84" s="414"/>
      <c r="F84" s="414"/>
      <c r="G84" s="30"/>
    </row>
    <row r="85" spans="1:8" ht="21.75" customHeight="1">
      <c r="A85" s="51" t="s">
        <v>1334</v>
      </c>
    </row>
    <row r="86" spans="1:8" ht="21.75" customHeight="1">
      <c r="A86" s="51" t="s">
        <v>1335</v>
      </c>
    </row>
    <row r="87" spans="1:8" ht="21.75" customHeight="1">
      <c r="A87" s="51" t="s">
        <v>1336</v>
      </c>
    </row>
    <row r="88" spans="1:8" ht="21.75" customHeight="1"/>
    <row r="89" spans="1:8" ht="21.75" customHeight="1">
      <c r="A89" s="134" t="s">
        <v>1337</v>
      </c>
      <c r="B89" s="411"/>
      <c r="C89" s="411"/>
      <c r="D89" s="411"/>
      <c r="E89" s="411"/>
      <c r="F89" s="411"/>
    </row>
    <row r="90" spans="1:8" ht="21.75" customHeight="1">
      <c r="A90" s="258" t="s">
        <v>651</v>
      </c>
      <c r="B90" s="177" t="s">
        <v>1338</v>
      </c>
      <c r="C90" s="67">
        <v>2023</v>
      </c>
      <c r="D90" s="67">
        <v>2022</v>
      </c>
      <c r="E90" s="67">
        <v>2021</v>
      </c>
      <c r="F90" s="67">
        <v>2020</v>
      </c>
      <c r="G90" s="67">
        <v>2019</v>
      </c>
      <c r="H90" s="67">
        <v>2018</v>
      </c>
    </row>
    <row r="91" spans="1:8" ht="21.75" customHeight="1">
      <c r="A91" s="45" t="s">
        <v>928</v>
      </c>
      <c r="C91" s="28"/>
      <c r="D91" s="28"/>
      <c r="E91" s="28"/>
      <c r="F91" s="28"/>
      <c r="G91" s="28"/>
      <c r="H91" s="28"/>
    </row>
    <row r="92" spans="1:8" ht="21.75" customHeight="1">
      <c r="A92" s="19" t="s">
        <v>1339</v>
      </c>
      <c r="B92" s="95"/>
      <c r="C92" s="635">
        <v>0.78620000000000001</v>
      </c>
      <c r="D92" s="635">
        <v>0.77500000000000002</v>
      </c>
      <c r="E92" s="635">
        <v>0.75</v>
      </c>
      <c r="F92" s="635">
        <v>0.73</v>
      </c>
      <c r="G92" s="635">
        <v>0.59</v>
      </c>
      <c r="H92" s="635">
        <v>0.72</v>
      </c>
    </row>
    <row r="93" spans="1:8" ht="21.75" customHeight="1">
      <c r="A93" s="25" t="s">
        <v>1340</v>
      </c>
      <c r="B93" s="607">
        <v>0.65</v>
      </c>
      <c r="C93" s="623">
        <v>0.64670000000000005</v>
      </c>
      <c r="D93" s="623">
        <v>0.61739999999999995</v>
      </c>
      <c r="E93" s="623">
        <v>0.53</v>
      </c>
      <c r="F93" s="623">
        <v>0.51</v>
      </c>
      <c r="G93" s="623">
        <v>0.52</v>
      </c>
      <c r="H93" s="623">
        <v>0.43</v>
      </c>
    </row>
    <row r="94" spans="1:8" ht="21.75" customHeight="1">
      <c r="A94" s="45" t="s">
        <v>589</v>
      </c>
      <c r="B94" s="415"/>
      <c r="C94" s="277"/>
      <c r="D94" s="277"/>
      <c r="E94" s="277"/>
      <c r="F94" s="28"/>
      <c r="G94" s="28"/>
      <c r="H94" s="28"/>
    </row>
    <row r="95" spans="1:8" ht="21.75" customHeight="1">
      <c r="A95" s="30" t="s">
        <v>1341</v>
      </c>
      <c r="B95" s="640">
        <v>0.03</v>
      </c>
      <c r="C95" s="634">
        <v>3.3000000000000002E-2</v>
      </c>
      <c r="D95" s="634">
        <v>3.27E-2</v>
      </c>
      <c r="E95" s="634">
        <v>3.1600000000000003E-2</v>
      </c>
      <c r="F95" s="634">
        <v>1.8599999999999998E-2</v>
      </c>
      <c r="G95" s="131" t="s">
        <v>625</v>
      </c>
      <c r="H95" s="131" t="s">
        <v>625</v>
      </c>
    </row>
    <row r="96" spans="1:8" ht="21.75" customHeight="1">
      <c r="A96" s="51" t="s">
        <v>1342</v>
      </c>
    </row>
  </sheetData>
  <sheetProtection algorithmName="SHA-512" hashValue="h+tvS5S/Av9bh6Ru0Nt2YlMQwCy51g3WOuCQ3q6yu9v2yo2MolO+aeO0b1r5oyPx0gz1wavnO1ZeG1mGzhQXcw==" saltValue="LV0OY0QNFlQjvU/s7rTGOg==" spinCount="100000" sheet="1" objects="1" scenarios="1"/>
  <mergeCells count="8">
    <mergeCell ref="A84:C84"/>
    <mergeCell ref="D3:E3"/>
    <mergeCell ref="B3:C3"/>
    <mergeCell ref="G3:G4"/>
    <mergeCell ref="F3:F4"/>
    <mergeCell ref="A14:G14"/>
    <mergeCell ref="A60:E60"/>
    <mergeCell ref="A61:E6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72"/>
  <sheetViews>
    <sheetView showGridLines="0" showRuler="0" topLeftCell="A15" workbookViewId="0">
      <selection activeCell="I37" sqref="I37"/>
    </sheetView>
  </sheetViews>
  <sheetFormatPr baseColWidth="10" defaultColWidth="12.83203125" defaultRowHeight="13"/>
  <cols>
    <col min="1" max="1" width="76.5" customWidth="1"/>
    <col min="2" max="2" width="11.83203125" customWidth="1"/>
    <col min="3" max="6" width="8.83203125" customWidth="1"/>
    <col min="7" max="7" width="11.1640625" customWidth="1"/>
    <col min="8" max="8" width="11.5" customWidth="1"/>
  </cols>
  <sheetData>
    <row r="1" spans="1:8" ht="15.75" customHeight="1"/>
    <row r="2" spans="1:8" ht="16.75" customHeight="1">
      <c r="A2" s="416" t="s">
        <v>1343</v>
      </c>
    </row>
    <row r="3" spans="1:8" ht="15.75" customHeight="1">
      <c r="A3" s="134" t="s">
        <v>1344</v>
      </c>
      <c r="B3" s="177" t="s">
        <v>1345</v>
      </c>
      <c r="C3" s="135">
        <v>2022</v>
      </c>
      <c r="D3" s="135">
        <v>2021</v>
      </c>
      <c r="E3" s="135">
        <v>2020</v>
      </c>
      <c r="F3" s="135">
        <v>2019</v>
      </c>
    </row>
    <row r="4" spans="1:8" ht="19.25" customHeight="1">
      <c r="A4" s="21" t="s">
        <v>1346</v>
      </c>
      <c r="B4" s="172">
        <v>2.1</v>
      </c>
      <c r="C4" s="206">
        <v>2.41</v>
      </c>
      <c r="D4" s="206">
        <v>1.78</v>
      </c>
      <c r="E4" s="206">
        <v>1.71</v>
      </c>
      <c r="F4" s="206">
        <v>1.97</v>
      </c>
    </row>
    <row r="5" spans="1:8" ht="19.25" customHeight="1">
      <c r="A5" s="21" t="s">
        <v>1347</v>
      </c>
      <c r="B5" s="172">
        <v>2.16</v>
      </c>
    </row>
    <row r="6" spans="1:8" ht="19.25" customHeight="1">
      <c r="A6" s="21" t="s">
        <v>1348</v>
      </c>
      <c r="B6" s="172">
        <v>1.06</v>
      </c>
      <c r="C6" s="206">
        <v>1.03</v>
      </c>
      <c r="D6" s="206">
        <v>1.3</v>
      </c>
      <c r="E6" s="206">
        <v>1.31</v>
      </c>
      <c r="F6" s="206">
        <v>1.1399999999999999</v>
      </c>
    </row>
    <row r="7" spans="1:8" ht="19.25" customHeight="1">
      <c r="A7" s="21" t="s">
        <v>1349</v>
      </c>
      <c r="B7" s="172">
        <v>0.94</v>
      </c>
      <c r="C7" s="116">
        <v>0.97</v>
      </c>
      <c r="D7" s="206">
        <v>0.7</v>
      </c>
      <c r="E7" s="116">
        <v>0.69</v>
      </c>
      <c r="F7" s="116">
        <v>0.86</v>
      </c>
    </row>
    <row r="8" spans="1:8" ht="19.25" customHeight="1">
      <c r="A8" s="21" t="s">
        <v>1350</v>
      </c>
      <c r="B8" s="172">
        <v>1.0900000000000001</v>
      </c>
    </row>
    <row r="9" spans="1:8" ht="19.25" customHeight="1">
      <c r="A9" s="21" t="s">
        <v>1351</v>
      </c>
      <c r="B9" s="172">
        <v>0.91</v>
      </c>
    </row>
    <row r="10" spans="1:8" ht="19.25" customHeight="1">
      <c r="A10" s="21" t="s">
        <v>1352</v>
      </c>
      <c r="B10" s="172">
        <v>15.75</v>
      </c>
      <c r="C10" s="206">
        <v>20.399999999999999</v>
      </c>
      <c r="D10" s="206">
        <v>16.2</v>
      </c>
      <c r="E10" s="206">
        <v>4.59</v>
      </c>
      <c r="F10" s="206">
        <v>15.14</v>
      </c>
    </row>
    <row r="11" spans="1:8" ht="19.25" customHeight="1">
      <c r="A11" s="155" t="s">
        <v>1353</v>
      </c>
      <c r="B11" s="235">
        <v>73.22</v>
      </c>
      <c r="C11" s="207">
        <v>113.3</v>
      </c>
      <c r="D11" s="207">
        <v>116.8</v>
      </c>
      <c r="E11" s="236">
        <v>116.63</v>
      </c>
      <c r="F11" s="236">
        <v>172.98</v>
      </c>
    </row>
    <row r="12" spans="1:8" ht="25" customHeight="1">
      <c r="A12" s="30" t="s">
        <v>1354</v>
      </c>
      <c r="B12" s="19"/>
      <c r="C12" s="19"/>
      <c r="D12" s="19"/>
      <c r="E12" s="19"/>
      <c r="F12" s="19"/>
    </row>
    <row r="13" spans="1:8" ht="35.75" customHeight="1">
      <c r="A13" s="740" t="s">
        <v>1355</v>
      </c>
      <c r="B13" s="685"/>
      <c r="C13" s="685"/>
      <c r="D13" s="685"/>
      <c r="E13" s="685"/>
      <c r="F13" s="685"/>
      <c r="G13" s="685"/>
      <c r="H13" s="685"/>
    </row>
    <row r="14" spans="1:8" ht="42.5" customHeight="1">
      <c r="A14" s="740" t="s">
        <v>1356</v>
      </c>
      <c r="B14" s="685"/>
      <c r="C14" s="685"/>
      <c r="D14" s="685"/>
      <c r="E14" s="685"/>
      <c r="F14" s="685"/>
      <c r="G14" s="685"/>
      <c r="H14" s="685"/>
    </row>
    <row r="15" spans="1:8" ht="27.5" customHeight="1">
      <c r="A15" s="740" t="s">
        <v>1357</v>
      </c>
      <c r="B15" s="685"/>
      <c r="C15" s="685"/>
      <c r="D15" s="685"/>
      <c r="E15" s="685"/>
      <c r="F15" s="685"/>
      <c r="G15" s="685"/>
      <c r="H15" s="685"/>
    </row>
    <row r="16" spans="1:8" ht="14.25" customHeight="1">
      <c r="A16" s="685"/>
      <c r="B16" s="685"/>
      <c r="C16" s="685"/>
      <c r="D16" s="685"/>
      <c r="E16" s="685"/>
    </row>
    <row r="17" spans="1:6" ht="15.75" customHeight="1"/>
    <row r="18" spans="1:6" ht="29.25" customHeight="1">
      <c r="A18" s="765" t="s">
        <v>1358</v>
      </c>
      <c r="B18" s="685"/>
    </row>
    <row r="19" spans="1:6" ht="15.75" customHeight="1">
      <c r="A19" s="134" t="s">
        <v>1359</v>
      </c>
      <c r="B19" s="134"/>
    </row>
    <row r="20" spans="1:6" ht="15.75" customHeight="1">
      <c r="A20" s="134" t="s">
        <v>1360</v>
      </c>
      <c r="B20" s="135">
        <v>2023</v>
      </c>
    </row>
    <row r="21" spans="1:6" ht="15.75" customHeight="1">
      <c r="A21" s="21" t="s">
        <v>1361</v>
      </c>
      <c r="B21" s="256">
        <v>0.96</v>
      </c>
    </row>
    <row r="22" spans="1:6" ht="15.75" customHeight="1">
      <c r="A22" s="21" t="s">
        <v>1362</v>
      </c>
      <c r="B22" s="256">
        <v>0.95</v>
      </c>
    </row>
    <row r="23" spans="1:6" ht="15.75" customHeight="1">
      <c r="A23" s="21" t="s">
        <v>1363</v>
      </c>
      <c r="B23" s="256">
        <v>0.93</v>
      </c>
    </row>
    <row r="24" spans="1:6" ht="19.25" customHeight="1">
      <c r="A24" s="21" t="s">
        <v>1364</v>
      </c>
      <c r="B24" s="256">
        <v>0.92</v>
      </c>
    </row>
    <row r="25" spans="1:6" ht="17.5" customHeight="1">
      <c r="A25" s="21" t="s">
        <v>1365</v>
      </c>
      <c r="B25" s="256">
        <v>0.9</v>
      </c>
    </row>
    <row r="26" spans="1:6" ht="16.75" customHeight="1">
      <c r="A26" s="402" t="s">
        <v>1366</v>
      </c>
      <c r="B26" s="417">
        <v>0.86</v>
      </c>
    </row>
    <row r="27" spans="1:6" ht="15.75" customHeight="1">
      <c r="A27" s="419"/>
      <c r="B27" s="419"/>
    </row>
    <row r="28" spans="1:6" ht="15.75" customHeight="1"/>
    <row r="29" spans="1:6" ht="29.25" customHeight="1">
      <c r="A29" s="765" t="s">
        <v>1367</v>
      </c>
      <c r="B29" s="685"/>
      <c r="C29" s="685"/>
      <c r="D29" s="685"/>
      <c r="E29" s="685"/>
      <c r="F29" s="685"/>
    </row>
    <row r="30" spans="1:6" ht="15" customHeight="1">
      <c r="A30" s="134" t="s">
        <v>1359</v>
      </c>
      <c r="B30" s="134"/>
      <c r="C30" s="134"/>
      <c r="D30" s="134"/>
      <c r="E30" s="134"/>
      <c r="F30" s="134"/>
    </row>
    <row r="31" spans="1:6" ht="26.75" customHeight="1">
      <c r="A31" s="134" t="s">
        <v>1360</v>
      </c>
      <c r="B31" s="177" t="s">
        <v>1368</v>
      </c>
      <c r="C31" s="177" t="s">
        <v>590</v>
      </c>
      <c r="D31" s="177" t="s">
        <v>593</v>
      </c>
      <c r="E31" s="177" t="s">
        <v>594</v>
      </c>
      <c r="F31" s="177" t="s">
        <v>1225</v>
      </c>
    </row>
    <row r="32" spans="1:6" ht="15.75" customHeight="1">
      <c r="A32" s="21" t="s">
        <v>1361</v>
      </c>
      <c r="B32" s="206">
        <v>1.05037818171799</v>
      </c>
      <c r="C32" s="206">
        <v>1.03387310027934</v>
      </c>
      <c r="D32" s="24" t="s">
        <v>1369</v>
      </c>
      <c r="E32" s="24" t="s">
        <v>1369</v>
      </c>
      <c r="F32" s="24" t="s">
        <v>1369</v>
      </c>
    </row>
    <row r="33" spans="1:7" ht="15.75" customHeight="1">
      <c r="A33" s="21" t="s">
        <v>1362</v>
      </c>
      <c r="B33" s="206">
        <v>1.1107777839016599</v>
      </c>
      <c r="C33" s="206">
        <v>0.99067654811074501</v>
      </c>
      <c r="D33" s="206">
        <v>1.0074948217518001</v>
      </c>
      <c r="E33" s="206">
        <v>1.00916912537408</v>
      </c>
      <c r="F33" s="206">
        <v>1.13658502255427</v>
      </c>
    </row>
    <row r="34" spans="1:7" ht="15.75" customHeight="1">
      <c r="A34" s="21" t="s">
        <v>1363</v>
      </c>
      <c r="B34" s="206">
        <v>1.1159608604862601</v>
      </c>
      <c r="C34" s="206">
        <v>1.0409434753862199</v>
      </c>
      <c r="D34" s="206">
        <v>1.005379044933</v>
      </c>
      <c r="E34" s="206">
        <v>1.0394716276109699</v>
      </c>
      <c r="F34" s="206">
        <v>1.09530813874231</v>
      </c>
    </row>
    <row r="35" spans="1:7" ht="15.75" customHeight="1">
      <c r="A35" s="21" t="s">
        <v>1364</v>
      </c>
      <c r="B35" s="206">
        <v>1.0418879196681401</v>
      </c>
      <c r="C35" s="206">
        <v>1.13621870000655</v>
      </c>
      <c r="D35" s="206">
        <v>1.05375390746046</v>
      </c>
      <c r="E35" s="206">
        <v>0.98881439217975897</v>
      </c>
      <c r="F35" s="206">
        <v>1.08428203240362</v>
      </c>
    </row>
    <row r="36" spans="1:7" ht="15.75" customHeight="1">
      <c r="A36" s="21" t="s">
        <v>1365</v>
      </c>
      <c r="B36" s="206">
        <v>1.0414438830238999</v>
      </c>
      <c r="C36" s="206">
        <v>1.11963367071505</v>
      </c>
      <c r="D36" s="24" t="s">
        <v>1369</v>
      </c>
      <c r="E36" s="206">
        <v>1.15666624279559</v>
      </c>
      <c r="F36" s="24" t="s">
        <v>1369</v>
      </c>
    </row>
    <row r="37" spans="1:7" ht="16.75" customHeight="1">
      <c r="A37" s="155" t="s">
        <v>1366</v>
      </c>
      <c r="B37" s="207">
        <v>1.0052763424775399</v>
      </c>
      <c r="C37" s="207">
        <v>1.2317400581846201</v>
      </c>
      <c r="D37" s="209" t="s">
        <v>1369</v>
      </c>
      <c r="E37" s="209" t="s">
        <v>1369</v>
      </c>
      <c r="F37" s="209" t="s">
        <v>1369</v>
      </c>
    </row>
    <row r="38" spans="1:7" ht="15.75" customHeight="1">
      <c r="A38" s="418" t="s">
        <v>1370</v>
      </c>
      <c r="B38" s="420"/>
      <c r="C38" s="420"/>
      <c r="D38" s="420"/>
      <c r="E38" s="420"/>
      <c r="F38" s="420"/>
    </row>
    <row r="39" spans="1:7" ht="15.75" customHeight="1"/>
    <row r="40" spans="1:7" ht="15.75" customHeight="1">
      <c r="A40" s="134" t="s">
        <v>1371</v>
      </c>
      <c r="B40" s="134"/>
    </row>
    <row r="41" spans="1:7" ht="15.75" customHeight="1">
      <c r="A41" s="134" t="s">
        <v>651</v>
      </c>
      <c r="B41" s="135">
        <v>2023</v>
      </c>
    </row>
    <row r="42" spans="1:7" ht="15.75" customHeight="1">
      <c r="A42" s="21" t="s">
        <v>589</v>
      </c>
      <c r="B42" s="256">
        <v>1.5616216223255499</v>
      </c>
    </row>
    <row r="43" spans="1:7" ht="15.75" customHeight="1">
      <c r="A43" s="21" t="s">
        <v>1372</v>
      </c>
      <c r="B43" s="256">
        <v>2.6258003182360299</v>
      </c>
    </row>
    <row r="44" spans="1:7" ht="15.75" customHeight="1">
      <c r="A44" s="21" t="s">
        <v>590</v>
      </c>
      <c r="B44" s="256">
        <v>2.6000828159087201</v>
      </c>
    </row>
    <row r="45" spans="1:7" ht="15.75" customHeight="1">
      <c r="A45" s="21" t="s">
        <v>594</v>
      </c>
      <c r="B45" s="256">
        <v>2.08178861788618</v>
      </c>
    </row>
    <row r="46" spans="1:7" ht="16.75" customHeight="1">
      <c r="A46" s="402" t="s">
        <v>1225</v>
      </c>
      <c r="B46" s="417">
        <v>1.8260869565217399</v>
      </c>
    </row>
    <row r="47" spans="1:7" ht="15.75" customHeight="1">
      <c r="A47" s="766" t="s">
        <v>1373</v>
      </c>
      <c r="B47" s="766"/>
      <c r="C47" s="685"/>
      <c r="D47" s="685"/>
      <c r="E47" s="685"/>
      <c r="F47" s="685"/>
      <c r="G47" s="685"/>
    </row>
    <row r="48" spans="1:7" ht="15.75" customHeight="1"/>
    <row r="49" spans="1:7" ht="15.75" customHeight="1"/>
    <row r="50" spans="1:7" ht="16.75" customHeight="1">
      <c r="A50" s="416" t="s">
        <v>1374</v>
      </c>
    </row>
    <row r="51" spans="1:7" ht="15.75" customHeight="1">
      <c r="A51" s="134" t="s">
        <v>1375</v>
      </c>
      <c r="B51" s="134"/>
    </row>
    <row r="52" spans="1:7" ht="15.75" customHeight="1">
      <c r="A52" s="134" t="s">
        <v>651</v>
      </c>
      <c r="B52" s="135">
        <v>2023</v>
      </c>
    </row>
    <row r="53" spans="1:7" ht="15.75" customHeight="1">
      <c r="A53" s="21" t="s">
        <v>589</v>
      </c>
      <c r="B53" s="256">
        <v>7.3983361248287203</v>
      </c>
    </row>
    <row r="54" spans="1:7" ht="15.75" customHeight="1">
      <c r="A54" s="21" t="s">
        <v>1372</v>
      </c>
      <c r="B54" s="256">
        <v>20.5651793045541</v>
      </c>
    </row>
    <row r="55" spans="1:7" ht="15.75" customHeight="1">
      <c r="A55" s="21" t="s">
        <v>590</v>
      </c>
      <c r="B55" s="256">
        <v>30.2786225568235</v>
      </c>
    </row>
    <row r="56" spans="1:7" ht="15.75" customHeight="1">
      <c r="A56" s="21" t="s">
        <v>1376</v>
      </c>
      <c r="B56" s="256">
        <v>3.36564650919401</v>
      </c>
    </row>
    <row r="57" spans="1:7" ht="15.75" customHeight="1">
      <c r="A57" s="21" t="s">
        <v>593</v>
      </c>
      <c r="B57" s="256">
        <v>20.713415316166099</v>
      </c>
    </row>
    <row r="58" spans="1:7" ht="15.75" customHeight="1">
      <c r="A58" s="21" t="s">
        <v>594</v>
      </c>
      <c r="B58" s="256">
        <v>13.6787362134282</v>
      </c>
    </row>
    <row r="59" spans="1:7" ht="16.75" customHeight="1">
      <c r="A59" s="402" t="s">
        <v>1225</v>
      </c>
      <c r="B59" s="417">
        <v>14.2402869929566</v>
      </c>
    </row>
    <row r="60" spans="1:7" ht="16.75" customHeight="1">
      <c r="A60" s="766" t="s">
        <v>1377</v>
      </c>
      <c r="B60" s="766"/>
      <c r="C60" s="685"/>
      <c r="D60" s="685"/>
      <c r="E60" s="685"/>
      <c r="F60" s="685"/>
      <c r="G60" s="685"/>
    </row>
    <row r="61" spans="1:7" ht="16.75" customHeight="1"/>
    <row r="62" spans="1:7" ht="16.75" customHeight="1">
      <c r="A62" s="416" t="s">
        <v>1378</v>
      </c>
    </row>
    <row r="63" spans="1:7" ht="15.75" customHeight="1">
      <c r="A63" s="134" t="s">
        <v>1375</v>
      </c>
      <c r="B63" s="134"/>
    </row>
    <row r="64" spans="1:7" ht="15.75" customHeight="1">
      <c r="A64" s="134" t="s">
        <v>651</v>
      </c>
      <c r="B64" s="135">
        <v>2023</v>
      </c>
    </row>
    <row r="65" spans="1:8" ht="15.75" customHeight="1">
      <c r="A65" s="21" t="s">
        <v>589</v>
      </c>
      <c r="B65" s="256">
        <v>13.489222509095701</v>
      </c>
    </row>
    <row r="66" spans="1:8" ht="15.75" customHeight="1">
      <c r="A66" s="21" t="s">
        <v>1372</v>
      </c>
      <c r="B66" s="256">
        <v>174.12988263841899</v>
      </c>
    </row>
    <row r="67" spans="1:8" ht="15.75" customHeight="1">
      <c r="A67" s="21" t="s">
        <v>590</v>
      </c>
      <c r="B67" s="256">
        <v>98.645896076240206</v>
      </c>
    </row>
    <row r="68" spans="1:8" ht="15.75" customHeight="1">
      <c r="A68" s="21" t="s">
        <v>1376</v>
      </c>
      <c r="B68" s="256">
        <v>46.806198308571403</v>
      </c>
    </row>
    <row r="69" spans="1:8" ht="15.75" customHeight="1">
      <c r="A69" s="21" t="s">
        <v>593</v>
      </c>
      <c r="B69" s="256">
        <v>71.240124973595101</v>
      </c>
    </row>
    <row r="70" spans="1:8" ht="15.75" customHeight="1">
      <c r="A70" s="21" t="s">
        <v>594</v>
      </c>
      <c r="B70" s="256">
        <v>45.024480883245197</v>
      </c>
    </row>
    <row r="71" spans="1:8" ht="16.75" customHeight="1">
      <c r="A71" s="402" t="s">
        <v>1225</v>
      </c>
      <c r="B71" s="417">
        <v>63.217862363139297</v>
      </c>
    </row>
    <row r="72" spans="1:8" ht="16.75" customHeight="1">
      <c r="A72" s="766" t="s">
        <v>1377</v>
      </c>
      <c r="B72" s="766"/>
      <c r="C72" s="685"/>
      <c r="D72" s="685"/>
      <c r="E72" s="685"/>
      <c r="F72" s="685"/>
      <c r="G72" s="685"/>
      <c r="H72" s="685"/>
    </row>
  </sheetData>
  <sheetProtection algorithmName="SHA-512" hashValue="3AY5XyvjUuP8rl0Q/AY/G+QwikxnuSrJhyVebuW8OCbEv68RCy1jSvij4ZE7+5FarcBSfBiRJS6OItE9vEYmeQ==" saltValue="0oY3nD5nIk2T1kliHjSxbg==" spinCount="100000" sheet="1" objects="1" scenarios="1"/>
  <mergeCells count="9">
    <mergeCell ref="A29:F29"/>
    <mergeCell ref="A47:G47"/>
    <mergeCell ref="A60:G60"/>
    <mergeCell ref="A72:H72"/>
    <mergeCell ref="A13:H13"/>
    <mergeCell ref="A14:H14"/>
    <mergeCell ref="A15:H15"/>
    <mergeCell ref="A16:E16"/>
    <mergeCell ref="A18:B18"/>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76"/>
  <sheetViews>
    <sheetView showGridLines="0" showRuler="0" topLeftCell="A45" workbookViewId="0">
      <selection activeCell="B86" sqref="B86"/>
    </sheetView>
  </sheetViews>
  <sheetFormatPr baseColWidth="10" defaultColWidth="12.83203125" defaultRowHeight="13"/>
  <cols>
    <col min="1" max="1" width="50" customWidth="1"/>
    <col min="2" max="8" width="14.33203125" customWidth="1"/>
  </cols>
  <sheetData>
    <row r="1" spans="1:8" ht="21.75" customHeight="1">
      <c r="A1" s="134" t="s">
        <v>1379</v>
      </c>
      <c r="B1" s="411"/>
      <c r="C1" s="411"/>
      <c r="D1" s="411"/>
      <c r="E1" s="411"/>
      <c r="F1" s="411"/>
    </row>
    <row r="2" spans="1:8" ht="21.75" customHeight="1"/>
    <row r="3" spans="1:8" ht="21.75" customHeight="1">
      <c r="A3" s="134" t="s">
        <v>1380</v>
      </c>
      <c r="B3" s="411"/>
      <c r="C3" s="411"/>
      <c r="D3" s="411"/>
      <c r="E3" s="411"/>
      <c r="F3" s="411"/>
    </row>
    <row r="4" spans="1:8" ht="21.75" customHeight="1">
      <c r="A4" s="134" t="s">
        <v>651</v>
      </c>
      <c r="B4" s="177" t="s">
        <v>1241</v>
      </c>
      <c r="C4" s="177" t="s">
        <v>1242</v>
      </c>
      <c r="D4" s="177" t="s">
        <v>609</v>
      </c>
      <c r="E4" s="177" t="s">
        <v>1381</v>
      </c>
      <c r="F4" s="177" t="s">
        <v>1296</v>
      </c>
    </row>
    <row r="5" spans="1:8" ht="21.75" customHeight="1">
      <c r="A5" s="21" t="s">
        <v>589</v>
      </c>
      <c r="B5" s="20">
        <v>74</v>
      </c>
      <c r="C5" s="20">
        <v>208</v>
      </c>
      <c r="D5" s="20">
        <f t="shared" ref="D5:D10" si="0">SUM(B5:C5)</f>
        <v>282</v>
      </c>
      <c r="E5" s="20">
        <v>1879</v>
      </c>
      <c r="F5" s="267">
        <f t="shared" ref="F5:F11" si="1">+D5/E5</f>
        <v>0.15007982969664715</v>
      </c>
    </row>
    <row r="6" spans="1:8" ht="21.75" customHeight="1">
      <c r="A6" s="21" t="s">
        <v>604</v>
      </c>
      <c r="B6" s="20">
        <v>39</v>
      </c>
      <c r="C6" s="20">
        <v>118</v>
      </c>
      <c r="D6" s="20">
        <f t="shared" si="0"/>
        <v>157</v>
      </c>
      <c r="E6" s="20">
        <v>2582</v>
      </c>
      <c r="F6" s="267">
        <f t="shared" si="1"/>
        <v>6.0805577072037181E-2</v>
      </c>
    </row>
    <row r="7" spans="1:8" ht="21.75" customHeight="1">
      <c r="A7" s="21" t="s">
        <v>591</v>
      </c>
      <c r="B7" s="20">
        <v>4</v>
      </c>
      <c r="C7" s="20">
        <v>7</v>
      </c>
      <c r="D7" s="20">
        <f t="shared" si="0"/>
        <v>11</v>
      </c>
      <c r="E7" s="20">
        <v>124</v>
      </c>
      <c r="F7" s="267">
        <f t="shared" si="1"/>
        <v>8.8709677419354843E-2</v>
      </c>
    </row>
    <row r="8" spans="1:8" ht="21.75" customHeight="1">
      <c r="A8" s="21" t="s">
        <v>593</v>
      </c>
      <c r="B8" s="20">
        <v>1</v>
      </c>
      <c r="C8" s="20">
        <v>13</v>
      </c>
      <c r="D8" s="20">
        <f t="shared" si="0"/>
        <v>14</v>
      </c>
      <c r="E8" s="20">
        <v>823</v>
      </c>
      <c r="F8" s="267">
        <f t="shared" si="1"/>
        <v>1.7010935601458079E-2</v>
      </c>
    </row>
    <row r="9" spans="1:8" ht="21.75" customHeight="1">
      <c r="A9" s="21" t="s">
        <v>594</v>
      </c>
      <c r="B9" s="20">
        <v>9</v>
      </c>
      <c r="C9" s="20">
        <v>10</v>
      </c>
      <c r="D9" s="20">
        <f t="shared" si="0"/>
        <v>19</v>
      </c>
      <c r="E9" s="20">
        <v>418</v>
      </c>
      <c r="F9" s="267">
        <f t="shared" si="1"/>
        <v>4.5454545454545456E-2</v>
      </c>
    </row>
    <row r="10" spans="1:8" ht="21.75" customHeight="1">
      <c r="A10" s="25" t="s">
        <v>1225</v>
      </c>
      <c r="B10" s="26">
        <v>16</v>
      </c>
      <c r="C10" s="26">
        <v>34</v>
      </c>
      <c r="D10" s="26">
        <f t="shared" si="0"/>
        <v>50</v>
      </c>
      <c r="E10" s="26">
        <v>471</v>
      </c>
      <c r="F10" s="275">
        <f t="shared" si="1"/>
        <v>0.10615711252653928</v>
      </c>
    </row>
    <row r="11" spans="1:8" ht="21.75" customHeight="1" thickBot="1">
      <c r="A11" s="45" t="s">
        <v>609</v>
      </c>
      <c r="B11" s="268">
        <f>SUM(B5:B10)</f>
        <v>143</v>
      </c>
      <c r="C11" s="268">
        <f>SUM(C5:C10)</f>
        <v>390</v>
      </c>
      <c r="D11" s="268">
        <f>SUM(D5:D10)</f>
        <v>533</v>
      </c>
      <c r="E11" s="268">
        <f>SUM(E5:E10)</f>
        <v>6297</v>
      </c>
      <c r="F11" s="409">
        <f t="shared" si="1"/>
        <v>8.464348102270923E-2</v>
      </c>
    </row>
    <row r="12" spans="1:8" ht="21.75" customHeight="1" thickBot="1">
      <c r="A12" s="46" t="s">
        <v>1382</v>
      </c>
      <c r="B12" s="641">
        <f>+B11/D11</f>
        <v>0.26829268292682928</v>
      </c>
      <c r="C12" s="641">
        <f>+C11/D11</f>
        <v>0.73170731707317072</v>
      </c>
      <c r="D12" s="423"/>
      <c r="E12" s="423"/>
      <c r="F12" s="423"/>
    </row>
    <row r="13" spans="1:8" ht="21.75" customHeight="1">
      <c r="A13" s="19"/>
      <c r="B13" s="131"/>
      <c r="C13" s="131"/>
      <c r="D13" s="131"/>
      <c r="E13" s="131"/>
      <c r="F13" s="131"/>
    </row>
    <row r="14" spans="1:8" ht="21.75" customHeight="1">
      <c r="A14" s="134" t="s">
        <v>1383</v>
      </c>
      <c r="B14" s="411"/>
      <c r="C14" s="411"/>
      <c r="D14" s="411"/>
      <c r="E14" s="411"/>
      <c r="F14" s="411"/>
      <c r="G14" s="411"/>
      <c r="H14" s="411"/>
    </row>
    <row r="15" spans="1:8" ht="21.75" customHeight="1">
      <c r="A15" s="134" t="s">
        <v>651</v>
      </c>
      <c r="B15" s="177" t="s">
        <v>589</v>
      </c>
      <c r="C15" s="177" t="s">
        <v>604</v>
      </c>
      <c r="D15" s="177" t="s">
        <v>591</v>
      </c>
      <c r="E15" s="177" t="s">
        <v>593</v>
      </c>
      <c r="F15" s="177" t="s">
        <v>594</v>
      </c>
      <c r="G15" s="177" t="s">
        <v>1225</v>
      </c>
      <c r="H15" s="177" t="s">
        <v>609</v>
      </c>
    </row>
    <row r="16" spans="1:8" ht="21.75" customHeight="1">
      <c r="A16" s="21" t="s">
        <v>1258</v>
      </c>
      <c r="B16" s="35">
        <v>0</v>
      </c>
      <c r="C16" s="35">
        <v>0</v>
      </c>
      <c r="D16" s="35">
        <v>0</v>
      </c>
      <c r="E16" s="35">
        <v>0</v>
      </c>
      <c r="F16" s="35">
        <v>0</v>
      </c>
      <c r="G16" s="35">
        <v>0</v>
      </c>
      <c r="H16" s="35">
        <f t="shared" ref="H16:H24" si="2">SUM(B16:G16)</f>
        <v>0</v>
      </c>
    </row>
    <row r="17" spans="1:8" ht="21.75" customHeight="1">
      <c r="A17" s="21" t="s">
        <v>1257</v>
      </c>
      <c r="B17" s="35">
        <v>0</v>
      </c>
      <c r="C17" s="35">
        <v>0</v>
      </c>
      <c r="D17" s="35">
        <v>3</v>
      </c>
      <c r="E17" s="35">
        <v>0</v>
      </c>
      <c r="F17" s="35">
        <v>0</v>
      </c>
      <c r="G17" s="35">
        <v>0</v>
      </c>
      <c r="H17" s="35">
        <f t="shared" si="2"/>
        <v>3</v>
      </c>
    </row>
    <row r="18" spans="1:8" ht="21.75" customHeight="1">
      <c r="A18" s="21" t="s">
        <v>1384</v>
      </c>
      <c r="B18" s="35">
        <v>0</v>
      </c>
      <c r="C18" s="35">
        <v>6</v>
      </c>
      <c r="D18" s="35">
        <v>3</v>
      </c>
      <c r="E18" s="35">
        <v>0</v>
      </c>
      <c r="F18" s="35">
        <v>0</v>
      </c>
      <c r="G18" s="35">
        <v>1</v>
      </c>
      <c r="H18" s="35">
        <f t="shared" si="2"/>
        <v>10</v>
      </c>
    </row>
    <row r="19" spans="1:8" ht="21.75" customHeight="1">
      <c r="A19" s="21" t="s">
        <v>1385</v>
      </c>
      <c r="B19" s="35">
        <v>19</v>
      </c>
      <c r="C19" s="35">
        <v>19</v>
      </c>
      <c r="D19" s="35">
        <v>0</v>
      </c>
      <c r="E19" s="35">
        <v>0</v>
      </c>
      <c r="F19" s="35">
        <v>2</v>
      </c>
      <c r="G19" s="35">
        <v>6</v>
      </c>
      <c r="H19" s="35">
        <f t="shared" si="2"/>
        <v>46</v>
      </c>
    </row>
    <row r="20" spans="1:8" ht="21.75" customHeight="1">
      <c r="A20" s="21" t="s">
        <v>1386</v>
      </c>
      <c r="B20" s="35">
        <v>143</v>
      </c>
      <c r="C20" s="35">
        <v>85</v>
      </c>
      <c r="D20" s="35">
        <v>3</v>
      </c>
      <c r="E20" s="35">
        <v>14</v>
      </c>
      <c r="F20" s="35">
        <v>9</v>
      </c>
      <c r="G20" s="35">
        <v>29</v>
      </c>
      <c r="H20" s="35">
        <f t="shared" si="2"/>
        <v>283</v>
      </c>
    </row>
    <row r="21" spans="1:8" ht="21.75" customHeight="1">
      <c r="A21" s="21" t="s">
        <v>1387</v>
      </c>
      <c r="B21" s="35">
        <v>112</v>
      </c>
      <c r="C21" s="35">
        <v>13</v>
      </c>
      <c r="D21" s="35">
        <v>2</v>
      </c>
      <c r="E21" s="35">
        <v>0</v>
      </c>
      <c r="F21" s="35">
        <v>0</v>
      </c>
      <c r="G21" s="35">
        <v>14</v>
      </c>
      <c r="H21" s="35">
        <f t="shared" si="2"/>
        <v>141</v>
      </c>
    </row>
    <row r="22" spans="1:8" ht="21.75" customHeight="1">
      <c r="A22" s="21" t="s">
        <v>1248</v>
      </c>
      <c r="B22" s="35">
        <v>8</v>
      </c>
      <c r="C22" s="35">
        <v>32</v>
      </c>
      <c r="D22" s="35">
        <v>0</v>
      </c>
      <c r="E22" s="35">
        <v>0</v>
      </c>
      <c r="F22" s="35">
        <v>0</v>
      </c>
      <c r="G22" s="35">
        <v>0</v>
      </c>
      <c r="H22" s="35">
        <f t="shared" si="2"/>
        <v>40</v>
      </c>
    </row>
    <row r="23" spans="1:8" ht="21.75" customHeight="1">
      <c r="A23" s="25" t="s">
        <v>1259</v>
      </c>
      <c r="B23" s="36">
        <v>0</v>
      </c>
      <c r="C23" s="36">
        <v>2</v>
      </c>
      <c r="D23" s="36">
        <v>0</v>
      </c>
      <c r="E23" s="36">
        <v>0</v>
      </c>
      <c r="F23" s="36">
        <v>8</v>
      </c>
      <c r="G23" s="36">
        <v>0</v>
      </c>
      <c r="H23" s="36">
        <f t="shared" si="2"/>
        <v>10</v>
      </c>
    </row>
    <row r="24" spans="1:8" ht="21.75" customHeight="1" thickBot="1">
      <c r="A24" s="45"/>
      <c r="B24" s="254">
        <f t="shared" ref="B24:G24" si="3">SUM(B16:B23)</f>
        <v>282</v>
      </c>
      <c r="C24" s="254">
        <f t="shared" si="3"/>
        <v>157</v>
      </c>
      <c r="D24" s="254">
        <f t="shared" si="3"/>
        <v>11</v>
      </c>
      <c r="E24" s="254">
        <f t="shared" si="3"/>
        <v>14</v>
      </c>
      <c r="F24" s="254">
        <f t="shared" si="3"/>
        <v>19</v>
      </c>
      <c r="G24" s="254">
        <f t="shared" si="3"/>
        <v>50</v>
      </c>
      <c r="H24" s="254">
        <f t="shared" si="2"/>
        <v>533</v>
      </c>
    </row>
    <row r="25" spans="1:8" ht="21.75" customHeight="1">
      <c r="A25" s="19"/>
      <c r="B25" s="131"/>
      <c r="C25" s="237"/>
      <c r="D25" s="237"/>
      <c r="E25" s="237"/>
      <c r="F25" s="237"/>
      <c r="G25" s="237"/>
      <c r="H25" s="237"/>
    </row>
    <row r="26" spans="1:8" ht="21.75" customHeight="1">
      <c r="A26" s="134" t="s">
        <v>1388</v>
      </c>
      <c r="B26" s="411"/>
      <c r="C26" s="411"/>
      <c r="D26" s="411"/>
      <c r="E26" s="411"/>
      <c r="F26" s="411"/>
    </row>
    <row r="27" spans="1:8" ht="21.75" customHeight="1">
      <c r="A27" s="134" t="s">
        <v>1389</v>
      </c>
      <c r="B27" s="135">
        <v>2023</v>
      </c>
      <c r="C27" s="135">
        <v>2022</v>
      </c>
      <c r="D27" s="135">
        <v>2021</v>
      </c>
      <c r="E27" s="135">
        <v>2020</v>
      </c>
      <c r="F27" s="135">
        <v>2019</v>
      </c>
      <c r="G27" s="177" t="s">
        <v>1023</v>
      </c>
    </row>
    <row r="28" spans="1:8" ht="21.75" customHeight="1">
      <c r="A28" s="21" t="s">
        <v>1242</v>
      </c>
      <c r="B28" s="22">
        <v>390</v>
      </c>
      <c r="C28" s="20">
        <v>377</v>
      </c>
      <c r="D28" s="20">
        <v>329</v>
      </c>
      <c r="E28" s="20">
        <v>248</v>
      </c>
      <c r="F28" s="20">
        <v>301</v>
      </c>
      <c r="G28" s="20">
        <v>2775</v>
      </c>
    </row>
    <row r="29" spans="1:8" ht="21.75" customHeight="1">
      <c r="A29" s="21" t="s">
        <v>1241</v>
      </c>
      <c r="B29" s="22">
        <v>143</v>
      </c>
      <c r="C29" s="20">
        <v>141</v>
      </c>
      <c r="D29" s="20">
        <v>103</v>
      </c>
      <c r="E29" s="20">
        <v>69</v>
      </c>
      <c r="F29" s="20">
        <v>84</v>
      </c>
      <c r="G29" s="20">
        <v>363</v>
      </c>
    </row>
    <row r="30" spans="1:8" ht="21.75" customHeight="1">
      <c r="A30" s="134" t="s">
        <v>1390</v>
      </c>
      <c r="B30" s="424"/>
      <c r="C30" s="424"/>
      <c r="D30" s="425"/>
      <c r="E30" s="425"/>
      <c r="F30" s="425"/>
      <c r="G30" s="425"/>
    </row>
    <row r="31" spans="1:8" ht="21.75" customHeight="1">
      <c r="A31" s="21" t="s">
        <v>1368</v>
      </c>
      <c r="B31" s="22">
        <v>282</v>
      </c>
      <c r="C31" s="20">
        <v>303</v>
      </c>
      <c r="D31" s="20">
        <v>303</v>
      </c>
      <c r="E31" s="20">
        <v>201</v>
      </c>
      <c r="F31" s="20">
        <v>256</v>
      </c>
      <c r="G31" s="20">
        <v>243</v>
      </c>
    </row>
    <row r="32" spans="1:8" ht="21.75" customHeight="1">
      <c r="A32" s="21" t="s">
        <v>590</v>
      </c>
      <c r="B32" s="22">
        <v>157</v>
      </c>
      <c r="C32" s="20">
        <v>128</v>
      </c>
      <c r="D32" s="20">
        <v>77</v>
      </c>
      <c r="E32" s="20">
        <v>77</v>
      </c>
      <c r="F32" s="20">
        <v>95</v>
      </c>
      <c r="G32" s="20">
        <v>1273</v>
      </c>
    </row>
    <row r="33" spans="1:7" ht="21.75" customHeight="1">
      <c r="A33" s="21" t="s">
        <v>591</v>
      </c>
      <c r="B33" s="22">
        <v>11</v>
      </c>
      <c r="C33" s="20">
        <v>11</v>
      </c>
      <c r="D33" s="20">
        <v>6</v>
      </c>
      <c r="E33" s="20">
        <v>4</v>
      </c>
      <c r="F33" s="20">
        <v>4</v>
      </c>
      <c r="G33" s="20">
        <v>6</v>
      </c>
    </row>
    <row r="34" spans="1:7" ht="21.75" customHeight="1">
      <c r="A34" s="21" t="s">
        <v>645</v>
      </c>
      <c r="B34" s="22">
        <v>14</v>
      </c>
      <c r="C34" s="20">
        <v>27</v>
      </c>
      <c r="D34" s="20">
        <v>11</v>
      </c>
      <c r="E34" s="20">
        <v>14</v>
      </c>
      <c r="F34" s="20">
        <v>9</v>
      </c>
      <c r="G34" s="20">
        <v>1601</v>
      </c>
    </row>
    <row r="35" spans="1:7" ht="21.75" customHeight="1">
      <c r="A35" s="21" t="s">
        <v>1391</v>
      </c>
      <c r="B35" s="22">
        <v>69</v>
      </c>
      <c r="C35" s="20">
        <v>49</v>
      </c>
      <c r="D35" s="20">
        <v>35</v>
      </c>
      <c r="E35" s="20">
        <v>21</v>
      </c>
      <c r="F35" s="20">
        <v>21</v>
      </c>
      <c r="G35" s="20">
        <v>25</v>
      </c>
    </row>
    <row r="36" spans="1:7" ht="21.75" customHeight="1">
      <c r="A36" s="134" t="s">
        <v>1392</v>
      </c>
      <c r="B36" s="424"/>
      <c r="C36" s="424"/>
      <c r="D36" s="425"/>
      <c r="E36" s="425"/>
      <c r="F36" s="425"/>
      <c r="G36" s="425"/>
    </row>
    <row r="37" spans="1:7" ht="21.75" customHeight="1">
      <c r="A37" s="21" t="s">
        <v>1393</v>
      </c>
      <c r="B37" s="22">
        <v>93</v>
      </c>
      <c r="C37" s="20">
        <v>79</v>
      </c>
      <c r="D37" s="20">
        <v>78</v>
      </c>
      <c r="E37" s="20">
        <v>58</v>
      </c>
      <c r="F37" s="20">
        <v>48</v>
      </c>
      <c r="G37" s="20">
        <v>239</v>
      </c>
    </row>
    <row r="38" spans="1:7" ht="21.75" customHeight="1">
      <c r="A38" s="21" t="s">
        <v>1394</v>
      </c>
      <c r="B38" s="22">
        <v>192</v>
      </c>
      <c r="C38" s="20">
        <v>189</v>
      </c>
      <c r="D38" s="20">
        <v>148</v>
      </c>
      <c r="E38" s="20">
        <v>117</v>
      </c>
      <c r="F38" s="20">
        <v>148</v>
      </c>
      <c r="G38" s="20">
        <v>1175</v>
      </c>
    </row>
    <row r="39" spans="1:7" ht="21.75" customHeight="1">
      <c r="A39" s="21" t="s">
        <v>1395</v>
      </c>
      <c r="B39" s="22">
        <v>141</v>
      </c>
      <c r="C39" s="20">
        <v>121</v>
      </c>
      <c r="D39" s="20">
        <v>110</v>
      </c>
      <c r="E39" s="20">
        <v>81</v>
      </c>
      <c r="F39" s="20">
        <v>112</v>
      </c>
      <c r="G39" s="20">
        <v>1028</v>
      </c>
    </row>
    <row r="40" spans="1:7" ht="21.75" customHeight="1">
      <c r="A40" s="21" t="s">
        <v>1396</v>
      </c>
      <c r="B40" s="22">
        <v>57</v>
      </c>
      <c r="C40" s="20">
        <v>74</v>
      </c>
      <c r="D40" s="20">
        <v>61</v>
      </c>
      <c r="E40" s="20">
        <v>32</v>
      </c>
      <c r="F40" s="20">
        <v>53</v>
      </c>
      <c r="G40" s="20">
        <v>651</v>
      </c>
    </row>
    <row r="41" spans="1:7" ht="21.75" customHeight="1" thickBot="1">
      <c r="A41" s="155" t="s">
        <v>1397</v>
      </c>
      <c r="B41" s="210">
        <v>50</v>
      </c>
      <c r="C41" s="210">
        <v>55</v>
      </c>
      <c r="D41" s="210">
        <v>35</v>
      </c>
      <c r="E41" s="210">
        <v>29</v>
      </c>
      <c r="F41" s="210">
        <v>24</v>
      </c>
      <c r="G41" s="210">
        <v>44</v>
      </c>
    </row>
    <row r="42" spans="1:7" ht="21.75" customHeight="1">
      <c r="A42" s="30" t="s">
        <v>1398</v>
      </c>
      <c r="B42" s="48"/>
      <c r="C42" s="48"/>
      <c r="D42" s="48"/>
      <c r="E42" s="48"/>
      <c r="F42" s="48"/>
      <c r="G42" s="30"/>
    </row>
    <row r="43" spans="1:7" ht="21.75" customHeight="1"/>
    <row r="44" spans="1:7" ht="21.75" customHeight="1">
      <c r="A44" s="134" t="s">
        <v>1399</v>
      </c>
      <c r="B44" s="135">
        <v>2023</v>
      </c>
      <c r="C44" s="135">
        <v>2022</v>
      </c>
      <c r="D44" s="135">
        <v>2021</v>
      </c>
      <c r="E44" s="177" t="s">
        <v>1400</v>
      </c>
      <c r="F44" s="135">
        <v>2019</v>
      </c>
      <c r="G44" s="177" t="s">
        <v>1401</v>
      </c>
    </row>
    <row r="45" spans="1:7" ht="21.75" customHeight="1" thickBot="1">
      <c r="B45" s="629">
        <v>0.13</v>
      </c>
      <c r="C45" s="627">
        <v>0.16</v>
      </c>
      <c r="D45" s="627">
        <v>0.1153</v>
      </c>
      <c r="E45" s="627">
        <v>0.11</v>
      </c>
      <c r="F45" s="627">
        <v>0.16</v>
      </c>
      <c r="G45" s="627">
        <v>0.35</v>
      </c>
    </row>
    <row r="46" spans="1:7" ht="21.75" customHeight="1">
      <c r="A46" s="738" t="s">
        <v>1402</v>
      </c>
      <c r="B46" s="738"/>
      <c r="C46" s="738"/>
      <c r="D46" s="738"/>
      <c r="E46" s="738"/>
      <c r="F46" s="738"/>
      <c r="G46" s="738"/>
    </row>
    <row r="47" spans="1:7" ht="21.75" customHeight="1">
      <c r="A47" s="51" t="s">
        <v>1403</v>
      </c>
    </row>
    <row r="48" spans="1:7" ht="21.75" customHeight="1"/>
    <row r="49" spans="1:7" ht="21.75" customHeight="1">
      <c r="A49" s="134" t="s">
        <v>1404</v>
      </c>
      <c r="B49" s="135">
        <v>2023</v>
      </c>
      <c r="C49" s="135">
        <v>2022</v>
      </c>
      <c r="D49" s="135">
        <v>2021</v>
      </c>
      <c r="E49" s="135">
        <v>2020</v>
      </c>
      <c r="F49" s="135">
        <v>2019</v>
      </c>
      <c r="G49" s="135">
        <v>2018</v>
      </c>
    </row>
    <row r="50" spans="1:7" ht="21.75" customHeight="1">
      <c r="A50" s="144" t="s">
        <v>1405</v>
      </c>
      <c r="B50" s="642">
        <v>0.08</v>
      </c>
      <c r="C50" s="625">
        <v>0.08</v>
      </c>
      <c r="D50" s="228">
        <v>7.2499999999999995E-2</v>
      </c>
      <c r="E50" s="625">
        <v>0.06</v>
      </c>
      <c r="F50" s="625">
        <v>7.0000000000000007E-2</v>
      </c>
      <c r="G50" s="625">
        <v>0.04</v>
      </c>
    </row>
    <row r="51" spans="1:7" ht="21.75" customHeight="1">
      <c r="A51" s="21" t="s">
        <v>1406</v>
      </c>
      <c r="B51" s="642">
        <v>0.74</v>
      </c>
      <c r="C51" s="625">
        <v>0.73</v>
      </c>
      <c r="D51" s="625">
        <v>0.75</v>
      </c>
      <c r="E51" s="625">
        <v>0.8</v>
      </c>
      <c r="F51" s="625">
        <v>0.77</v>
      </c>
      <c r="G51" s="625">
        <v>0.76</v>
      </c>
    </row>
    <row r="52" spans="1:7" ht="21.75" customHeight="1">
      <c r="A52" s="21" t="s">
        <v>1407</v>
      </c>
      <c r="B52" s="642">
        <v>0.26</v>
      </c>
      <c r="C52" s="625">
        <v>0.27</v>
      </c>
      <c r="D52" s="625">
        <v>0.25</v>
      </c>
      <c r="E52" s="625">
        <v>0.2</v>
      </c>
      <c r="F52" s="625">
        <v>0.25</v>
      </c>
      <c r="G52" s="625">
        <v>0.27</v>
      </c>
    </row>
    <row r="53" spans="1:7" ht="21.75" customHeight="1">
      <c r="A53" s="144" t="s">
        <v>1408</v>
      </c>
      <c r="B53" s="642">
        <v>0.05</v>
      </c>
      <c r="C53" s="625">
        <v>0.08</v>
      </c>
      <c r="D53" s="625">
        <v>0.05</v>
      </c>
      <c r="E53" s="625">
        <v>0.05</v>
      </c>
      <c r="F53" s="625">
        <v>0.09</v>
      </c>
      <c r="G53" s="625">
        <v>0.31</v>
      </c>
    </row>
    <row r="54" spans="1:7" ht="21.75" customHeight="1">
      <c r="A54" s="21" t="s">
        <v>1409</v>
      </c>
      <c r="B54" s="642">
        <v>0.63</v>
      </c>
      <c r="C54" s="625">
        <v>0.74</v>
      </c>
      <c r="D54" s="625">
        <v>0.79</v>
      </c>
      <c r="E54" s="625">
        <v>0.86</v>
      </c>
      <c r="F54" s="625">
        <v>0.79</v>
      </c>
      <c r="G54" s="625">
        <v>0.81</v>
      </c>
    </row>
    <row r="55" spans="1:7" ht="21.75" customHeight="1" thickBot="1">
      <c r="A55" s="402" t="s">
        <v>1410</v>
      </c>
      <c r="B55" s="643">
        <v>0.37</v>
      </c>
      <c r="C55" s="637">
        <v>0.26</v>
      </c>
      <c r="D55" s="637">
        <v>0.21</v>
      </c>
      <c r="E55" s="637">
        <v>0.14000000000000001</v>
      </c>
      <c r="F55" s="637">
        <v>0.21</v>
      </c>
      <c r="G55" s="637">
        <v>0.19</v>
      </c>
    </row>
    <row r="56" spans="1:7" ht="21.75" customHeight="1">
      <c r="A56" s="96"/>
      <c r="B56" s="95"/>
      <c r="C56" s="95"/>
      <c r="D56" s="95"/>
      <c r="E56" s="95"/>
      <c r="F56" s="95"/>
      <c r="G56" s="95"/>
    </row>
    <row r="57" spans="1:7" ht="21.75" customHeight="1">
      <c r="A57" s="134" t="s">
        <v>1411</v>
      </c>
      <c r="B57" s="135">
        <v>2023</v>
      </c>
      <c r="C57" s="135">
        <v>2022</v>
      </c>
      <c r="D57" s="135">
        <v>2021</v>
      </c>
      <c r="E57" s="135">
        <v>2020</v>
      </c>
      <c r="F57" s="135">
        <v>2019</v>
      </c>
    </row>
    <row r="58" spans="1:7" ht="21.75" customHeight="1">
      <c r="A58" s="21" t="s">
        <v>1412</v>
      </c>
      <c r="B58" s="22">
        <v>525</v>
      </c>
      <c r="C58" s="20">
        <v>675</v>
      </c>
      <c r="D58" s="20">
        <v>557</v>
      </c>
      <c r="E58" s="20">
        <v>352</v>
      </c>
      <c r="F58" s="20">
        <v>547</v>
      </c>
    </row>
    <row r="59" spans="1:7" ht="21.75" customHeight="1">
      <c r="A59" s="21" t="s">
        <v>1413</v>
      </c>
      <c r="B59" s="22">
        <v>310</v>
      </c>
      <c r="C59" s="20">
        <v>370</v>
      </c>
      <c r="D59" s="20">
        <v>299</v>
      </c>
      <c r="E59" s="20">
        <v>140</v>
      </c>
      <c r="F59" s="20">
        <v>185</v>
      </c>
    </row>
    <row r="60" spans="1:7" ht="21.75" customHeight="1">
      <c r="A60" s="21" t="s">
        <v>1414</v>
      </c>
      <c r="B60" s="22">
        <v>124</v>
      </c>
      <c r="C60" s="20">
        <v>102</v>
      </c>
      <c r="D60" s="20">
        <v>108</v>
      </c>
      <c r="E60" s="20">
        <v>49</v>
      </c>
      <c r="F60" s="20">
        <v>237</v>
      </c>
    </row>
    <row r="61" spans="1:7" ht="21.75" customHeight="1">
      <c r="A61" s="21" t="s">
        <v>1415</v>
      </c>
      <c r="B61" s="22">
        <v>42</v>
      </c>
      <c r="C61" s="20">
        <v>41</v>
      </c>
      <c r="D61" s="20">
        <v>24</v>
      </c>
      <c r="E61" s="20">
        <v>11</v>
      </c>
      <c r="F61" s="20">
        <v>59</v>
      </c>
    </row>
    <row r="62" spans="1:7" ht="21.75" customHeight="1">
      <c r="A62" s="21" t="s">
        <v>1416</v>
      </c>
      <c r="B62" s="22">
        <v>351</v>
      </c>
      <c r="C62" s="20">
        <v>310</v>
      </c>
      <c r="D62" s="20">
        <v>385</v>
      </c>
      <c r="E62" s="20">
        <v>531</v>
      </c>
      <c r="F62" s="20">
        <v>537</v>
      </c>
    </row>
    <row r="63" spans="1:7" ht="21.75" customHeight="1">
      <c r="A63" s="21" t="s">
        <v>1417</v>
      </c>
      <c r="B63" s="22">
        <v>147</v>
      </c>
      <c r="C63" s="20">
        <v>131</v>
      </c>
      <c r="D63" s="20">
        <v>123</v>
      </c>
      <c r="E63" s="20">
        <v>125</v>
      </c>
      <c r="F63" s="20">
        <v>140</v>
      </c>
    </row>
    <row r="64" spans="1:7" ht="21.75" customHeight="1">
      <c r="A64" s="21" t="s">
        <v>1418</v>
      </c>
      <c r="B64" s="421">
        <f>+B58+B59+B60+B61+B62+B63</f>
        <v>1499</v>
      </c>
      <c r="C64" s="20">
        <f>SUM(C58:C63)</f>
        <v>1629</v>
      </c>
      <c r="D64" s="20">
        <f>SUM(D58:D63)</f>
        <v>1496</v>
      </c>
      <c r="E64" s="20">
        <f>SUM(E58:E63)</f>
        <v>1208</v>
      </c>
      <c r="F64" s="20">
        <f>SUM(F58:F63)</f>
        <v>1705</v>
      </c>
    </row>
    <row r="65" spans="1:9" ht="21.75" customHeight="1" thickBot="1">
      <c r="A65" s="155" t="s">
        <v>1419</v>
      </c>
      <c r="B65" s="629">
        <f>(+B62+B63)/B64</f>
        <v>0.3322214809873249</v>
      </c>
      <c r="C65" s="627">
        <f>(+C62+C63)/C64</f>
        <v>0.27071823204419887</v>
      </c>
      <c r="D65" s="627">
        <f>(+D62+D63)/D64</f>
        <v>0.33957219251336901</v>
      </c>
      <c r="E65" s="627">
        <v>0.54</v>
      </c>
      <c r="F65" s="627">
        <v>0.64</v>
      </c>
    </row>
    <row r="66" spans="1:9" ht="21.75" customHeight="1">
      <c r="A66" s="757" t="s">
        <v>1709</v>
      </c>
      <c r="B66" s="757"/>
      <c r="C66" s="757"/>
      <c r="D66" s="757"/>
      <c r="E66" s="757"/>
      <c r="F66" s="757"/>
    </row>
    <row r="67" spans="1:9" ht="21.75" customHeight="1"/>
    <row r="68" spans="1:9" ht="21.75" customHeight="1">
      <c r="A68" s="134" t="s">
        <v>1420</v>
      </c>
      <c r="B68" s="135">
        <v>2023</v>
      </c>
    </row>
    <row r="69" spans="1:9" ht="18" customHeight="1">
      <c r="A69" s="21" t="s">
        <v>589</v>
      </c>
      <c r="B69" s="165">
        <v>1364</v>
      </c>
    </row>
    <row r="70" spans="1:9" ht="18" customHeight="1">
      <c r="A70" s="21" t="s">
        <v>591</v>
      </c>
      <c r="B70" s="662">
        <f>+E70</f>
        <v>3750000</v>
      </c>
      <c r="C70" s="664">
        <v>750000</v>
      </c>
      <c r="D70" s="664">
        <v>5</v>
      </c>
      <c r="E70" s="664">
        <f>+C70*D70</f>
        <v>3750000</v>
      </c>
      <c r="F70" s="664" t="s">
        <v>1710</v>
      </c>
      <c r="G70" s="664" t="s">
        <v>1711</v>
      </c>
      <c r="H70" s="664"/>
      <c r="I70" s="664"/>
    </row>
    <row r="71" spans="1:9" ht="18" customHeight="1">
      <c r="A71" s="21" t="s">
        <v>1712</v>
      </c>
      <c r="B71" s="666">
        <v>284506.07</v>
      </c>
      <c r="C71" s="664"/>
      <c r="D71" s="664"/>
      <c r="E71" s="664"/>
      <c r="F71" s="664"/>
      <c r="G71" s="664"/>
      <c r="H71" s="664"/>
      <c r="I71" s="664"/>
    </row>
    <row r="72" spans="1:9" ht="18" customHeight="1">
      <c r="A72" s="21" t="s">
        <v>590</v>
      </c>
      <c r="B72" s="165">
        <v>498241</v>
      </c>
      <c r="C72" s="664"/>
      <c r="D72" s="664"/>
      <c r="E72" s="664"/>
      <c r="F72" s="664"/>
      <c r="G72" s="664"/>
      <c r="H72" s="664"/>
      <c r="I72" s="664"/>
    </row>
    <row r="73" spans="1:9" ht="18" customHeight="1">
      <c r="A73" s="21" t="s">
        <v>645</v>
      </c>
      <c r="B73" s="165">
        <v>3016</v>
      </c>
      <c r="C73" s="664"/>
      <c r="D73" s="664"/>
      <c r="E73" s="664"/>
      <c r="F73" s="664"/>
      <c r="G73" s="664"/>
      <c r="H73" s="664"/>
      <c r="I73" s="664"/>
    </row>
    <row r="74" spans="1:9" ht="18" customHeight="1">
      <c r="A74" s="21" t="s">
        <v>594</v>
      </c>
      <c r="B74" s="165">
        <v>75125.240000000005</v>
      </c>
      <c r="C74" s="664"/>
      <c r="D74" s="664"/>
      <c r="E74" s="664"/>
      <c r="F74" s="664"/>
      <c r="G74" s="664"/>
      <c r="H74" s="664"/>
      <c r="I74" s="664"/>
    </row>
    <row r="75" spans="1:9" ht="18" customHeight="1">
      <c r="A75" s="21" t="s">
        <v>1225</v>
      </c>
      <c r="B75" s="165">
        <v>144478</v>
      </c>
      <c r="C75" s="664"/>
      <c r="D75" s="664"/>
      <c r="E75" s="664"/>
      <c r="F75" s="664"/>
      <c r="G75" s="664"/>
      <c r="H75" s="664"/>
      <c r="I75" s="664"/>
    </row>
    <row r="76" spans="1:9" ht="18" customHeight="1" thickBot="1">
      <c r="A76" s="422" t="s">
        <v>609</v>
      </c>
      <c r="B76" s="663">
        <f>SUM(B69:B75)</f>
        <v>4756730.3100000005</v>
      </c>
      <c r="C76" s="665">
        <v>6297</v>
      </c>
      <c r="D76" s="664">
        <f>+B76/C76</f>
        <v>755.39626965221544</v>
      </c>
      <c r="E76" s="665"/>
      <c r="F76" s="665"/>
      <c r="G76" s="665"/>
      <c r="H76" s="665"/>
      <c r="I76" s="665"/>
    </row>
  </sheetData>
  <sheetProtection algorithmName="SHA-512" hashValue="XZ57rbkVQFPJtMdeZLSFXQ2DGjsMcLQTW5ciL7qtWThzgSvYmI7gIrJ6QnffenOyV1jWvAT1YwcZw9r2xS1vQQ==" saltValue="2qkvZFXp9MWb65EWULDDQw==" spinCount="100000" sheet="1" objects="1" scenarios="1"/>
  <mergeCells count="2">
    <mergeCell ref="A46:G46"/>
    <mergeCell ref="A66:F66"/>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50"/>
  <sheetViews>
    <sheetView showGridLines="0" showRuler="0" workbookViewId="0"/>
  </sheetViews>
  <sheetFormatPr baseColWidth="10" defaultColWidth="12.83203125" defaultRowHeight="13"/>
  <cols>
    <col min="1" max="1" width="55.1640625" customWidth="1"/>
    <col min="2" max="6" width="14.33203125" customWidth="1"/>
    <col min="7" max="7" width="0" hidden="1"/>
    <col min="8" max="11" width="14.33203125" customWidth="1"/>
    <col min="12" max="19" width="9" customWidth="1"/>
  </cols>
  <sheetData>
    <row r="1" spans="1:7" ht="21.75" customHeight="1">
      <c r="A1" s="134" t="s">
        <v>1421</v>
      </c>
      <c r="B1" s="365"/>
      <c r="C1" s="365"/>
      <c r="D1" s="365"/>
      <c r="E1" s="365"/>
    </row>
    <row r="2" spans="1:7" ht="21.75" customHeight="1"/>
    <row r="3" spans="1:7" ht="21.75" customHeight="1">
      <c r="A3" s="134" t="s">
        <v>1422</v>
      </c>
      <c r="B3" s="135">
        <v>2023</v>
      </c>
      <c r="C3" s="135">
        <v>2022</v>
      </c>
      <c r="D3" s="135">
        <v>2021</v>
      </c>
      <c r="E3" s="135">
        <v>2020</v>
      </c>
      <c r="F3" s="135">
        <v>2019</v>
      </c>
      <c r="G3" s="135">
        <v>2018</v>
      </c>
    </row>
    <row r="4" spans="1:7" ht="21.75" customHeight="1">
      <c r="A4" s="21" t="s">
        <v>583</v>
      </c>
      <c r="B4" s="108">
        <v>6297</v>
      </c>
      <c r="C4" s="20">
        <v>6364</v>
      </c>
      <c r="D4" s="20">
        <v>5957</v>
      </c>
      <c r="E4" s="20">
        <v>5641</v>
      </c>
      <c r="F4" s="34">
        <v>5655</v>
      </c>
      <c r="G4" s="20">
        <v>5601</v>
      </c>
    </row>
    <row r="5" spans="1:7" ht="21.75" customHeight="1">
      <c r="A5" s="21" t="s">
        <v>1423</v>
      </c>
      <c r="B5" s="222">
        <v>8.8000000000000007</v>
      </c>
      <c r="C5" s="20">
        <v>8.98</v>
      </c>
      <c r="D5" s="20">
        <v>8.33</v>
      </c>
      <c r="E5" s="20">
        <v>6.83</v>
      </c>
      <c r="F5" s="20">
        <v>10.81</v>
      </c>
      <c r="G5" s="20">
        <v>13.83</v>
      </c>
    </row>
    <row r="6" spans="1:7" ht="21.75" customHeight="1">
      <c r="A6" s="155" t="s">
        <v>1424</v>
      </c>
      <c r="B6" s="233">
        <v>1400</v>
      </c>
      <c r="C6" s="210">
        <v>1410.98</v>
      </c>
      <c r="D6" s="210">
        <v>1397</v>
      </c>
      <c r="E6" s="210">
        <v>1211</v>
      </c>
      <c r="F6" s="210">
        <v>1912</v>
      </c>
      <c r="G6" s="210">
        <v>2469</v>
      </c>
    </row>
    <row r="7" spans="1:7" ht="21.75" customHeight="1">
      <c r="A7" s="19"/>
      <c r="B7" s="426"/>
      <c r="C7" s="19"/>
      <c r="D7" s="19"/>
      <c r="E7" s="19"/>
      <c r="F7" s="19"/>
      <c r="G7" s="19"/>
    </row>
    <row r="8" spans="1:7" ht="21.75" customHeight="1">
      <c r="A8" s="134" t="s">
        <v>1425</v>
      </c>
      <c r="B8" s="135">
        <v>2023</v>
      </c>
      <c r="C8" s="135">
        <v>2022</v>
      </c>
      <c r="D8" s="135">
        <v>2021</v>
      </c>
      <c r="E8" s="135">
        <v>2020</v>
      </c>
      <c r="F8" s="135">
        <v>2019</v>
      </c>
      <c r="G8" s="135">
        <v>2018</v>
      </c>
    </row>
    <row r="9" spans="1:7" ht="21.75" customHeight="1">
      <c r="A9" s="155" t="s">
        <v>1426</v>
      </c>
      <c r="B9" s="209" t="s">
        <v>1427</v>
      </c>
      <c r="C9" s="209" t="s">
        <v>1428</v>
      </c>
      <c r="D9" s="210">
        <v>168</v>
      </c>
      <c r="E9" s="209" t="s">
        <v>1429</v>
      </c>
      <c r="F9" s="210">
        <v>186</v>
      </c>
      <c r="G9" s="210">
        <v>262</v>
      </c>
    </row>
    <row r="10" spans="1:7" ht="21.75" customHeight="1">
      <c r="A10" s="30" t="s">
        <v>1430</v>
      </c>
      <c r="B10" s="30"/>
      <c r="C10" s="30"/>
      <c r="D10" s="30"/>
      <c r="E10" s="185"/>
      <c r="F10" s="185"/>
      <c r="G10" s="30"/>
    </row>
    <row r="11" spans="1:7" ht="21.75" customHeight="1">
      <c r="A11" s="740" t="s">
        <v>1431</v>
      </c>
      <c r="B11" s="685"/>
      <c r="C11" s="685"/>
      <c r="D11" s="685"/>
      <c r="E11" s="31"/>
      <c r="F11" s="31"/>
    </row>
    <row r="12" spans="1:7" ht="21.75" customHeight="1">
      <c r="A12" s="740" t="s">
        <v>1432</v>
      </c>
      <c r="B12" s="685"/>
      <c r="C12" s="685"/>
    </row>
    <row r="13" spans="1:7" ht="26.75" customHeight="1">
      <c r="A13" s="134" t="s">
        <v>1433</v>
      </c>
      <c r="B13" s="177"/>
      <c r="C13" s="177" t="s">
        <v>1434</v>
      </c>
      <c r="D13" s="177" t="s">
        <v>583</v>
      </c>
      <c r="E13" s="177" t="s">
        <v>1435</v>
      </c>
      <c r="F13" s="43"/>
      <c r="G13" s="43"/>
    </row>
    <row r="14" spans="1:7" ht="21.75" customHeight="1">
      <c r="A14" s="21" t="s">
        <v>589</v>
      </c>
      <c r="C14" s="20">
        <v>2001107.49</v>
      </c>
      <c r="D14" s="20">
        <v>1879</v>
      </c>
      <c r="E14" s="20">
        <f>+C14/D14</f>
        <v>1064.9853592336349</v>
      </c>
    </row>
    <row r="15" spans="1:7" ht="21.75" customHeight="1">
      <c r="A15" s="21" t="s">
        <v>604</v>
      </c>
      <c r="C15" s="20">
        <v>4991172.0999999996</v>
      </c>
      <c r="D15" s="20">
        <v>2582</v>
      </c>
      <c r="E15" s="20">
        <f>+C15/D15</f>
        <v>1933.0643299767621</v>
      </c>
    </row>
    <row r="16" spans="1:7" ht="21.75" customHeight="1">
      <c r="A16" s="21" t="s">
        <v>591</v>
      </c>
      <c r="C16" s="20">
        <v>67282.91</v>
      </c>
      <c r="D16" s="20">
        <v>124</v>
      </c>
      <c r="E16" s="20">
        <f>+C16/D16</f>
        <v>542.60411290322588</v>
      </c>
    </row>
    <row r="17" spans="1:5" ht="21.75" customHeight="1">
      <c r="A17" s="21" t="s">
        <v>645</v>
      </c>
      <c r="C17" s="20">
        <v>1277734.51</v>
      </c>
      <c r="D17" s="20">
        <v>823</v>
      </c>
      <c r="E17" s="20">
        <f>+C17/D17</f>
        <v>1552.5328189550426</v>
      </c>
    </row>
    <row r="18" spans="1:5" ht="21.75" customHeight="1">
      <c r="A18" s="25" t="s">
        <v>640</v>
      </c>
      <c r="C18" s="26">
        <v>551121.71</v>
      </c>
      <c r="D18" s="26">
        <v>889</v>
      </c>
      <c r="E18" s="26">
        <v>541</v>
      </c>
    </row>
    <row r="19" spans="1:5" ht="21.75" customHeight="1">
      <c r="A19" s="45" t="s">
        <v>609</v>
      </c>
      <c r="B19" s="28"/>
      <c r="C19" s="29">
        <f>SUM(C14:C18)</f>
        <v>8888418.7199999988</v>
      </c>
      <c r="D19" s="29">
        <f>SUM(D14:D18)</f>
        <v>6297</v>
      </c>
      <c r="E19" s="29">
        <v>1400</v>
      </c>
    </row>
    <row r="20" spans="1:5" ht="21.75" customHeight="1">
      <c r="A20" s="19"/>
      <c r="B20" s="19"/>
      <c r="C20" s="19"/>
      <c r="D20" s="19"/>
      <c r="E20" s="19"/>
    </row>
    <row r="21" spans="1:5" ht="21.75" customHeight="1"/>
    <row r="22" spans="1:5" ht="21.75" customHeight="1">
      <c r="A22" s="134" t="s">
        <v>1436</v>
      </c>
      <c r="B22" s="135">
        <v>2023</v>
      </c>
    </row>
    <row r="23" spans="1:5" ht="21.75" customHeight="1">
      <c r="A23" s="21" t="s">
        <v>1437</v>
      </c>
      <c r="B23" s="20">
        <v>130681</v>
      </c>
    </row>
    <row r="24" spans="1:5" ht="21.75" customHeight="1">
      <c r="A24" s="402" t="s">
        <v>1438</v>
      </c>
      <c r="B24" s="205">
        <v>18666</v>
      </c>
    </row>
    <row r="25" spans="1:5" ht="21.75" customHeight="1">
      <c r="A25" s="404" t="s">
        <v>1439</v>
      </c>
      <c r="B25" s="96"/>
    </row>
    <row r="26" spans="1:5" ht="15" customHeight="1"/>
    <row r="27" spans="1:5" ht="15" customHeight="1"/>
    <row r="28" spans="1:5" ht="15" customHeight="1"/>
    <row r="29" spans="1:5" ht="15" customHeight="1"/>
    <row r="30" spans="1:5" ht="15" customHeight="1"/>
    <row r="31" spans="1:5" ht="15" customHeight="1"/>
    <row r="32" spans="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sheetProtection algorithmName="SHA-512" hashValue="GgqSQUA70f+bpMU7OC3lXd90y+y7f8feVkK1tPu9LEAXQIySBQDC7P+lIdbCFVCWKnNTPlnLtMI2fT57IzTdwA==" saltValue="QnjTWyIoio79vqtfg7REJA==" spinCount="100000" sheet="1" objects="1" scenarios="1"/>
  <mergeCells count="2">
    <mergeCell ref="A11:D11"/>
    <mergeCell ref="A12:C12"/>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50"/>
  <sheetViews>
    <sheetView showGridLines="0" showRuler="0" topLeftCell="A7" workbookViewId="0">
      <selection activeCell="I8" sqref="I8"/>
    </sheetView>
  </sheetViews>
  <sheetFormatPr baseColWidth="10" defaultColWidth="12.83203125" defaultRowHeight="13"/>
  <cols>
    <col min="1" max="1" width="55.1640625" customWidth="1"/>
    <col min="2" max="4" width="14.33203125" customWidth="1"/>
    <col min="5" max="5" width="13.5" customWidth="1"/>
    <col min="6" max="6" width="12.83203125" customWidth="1"/>
    <col min="7" max="14" width="14.33203125" customWidth="1"/>
  </cols>
  <sheetData>
    <row r="1" spans="1:12" ht="21.75" customHeight="1">
      <c r="A1" s="134" t="s">
        <v>1440</v>
      </c>
      <c r="B1" s="365"/>
      <c r="C1" s="365"/>
      <c r="D1" s="365"/>
      <c r="E1" s="365"/>
    </row>
    <row r="2" spans="1:12" ht="21.75" customHeight="1">
      <c r="A2" s="43"/>
    </row>
    <row r="3" spans="1:12" ht="21.75" customHeight="1">
      <c r="A3" s="134" t="s">
        <v>1441</v>
      </c>
      <c r="B3" s="365"/>
      <c r="C3" s="365"/>
      <c r="D3" s="365"/>
      <c r="E3" s="365"/>
      <c r="F3" s="365"/>
    </row>
    <row r="4" spans="1:12" ht="21.75" customHeight="1">
      <c r="A4" s="134" t="s">
        <v>651</v>
      </c>
      <c r="B4" s="135">
        <v>2023</v>
      </c>
      <c r="C4" s="135">
        <v>2022</v>
      </c>
      <c r="D4" s="135">
        <v>2021</v>
      </c>
      <c r="E4" s="135">
        <v>2020</v>
      </c>
      <c r="F4" s="135">
        <v>2019</v>
      </c>
      <c r="G4" s="135">
        <v>2018</v>
      </c>
    </row>
    <row r="5" spans="1:12" ht="21.75" customHeight="1">
      <c r="A5" s="21" t="s">
        <v>589</v>
      </c>
      <c r="B5" s="626">
        <v>0.15</v>
      </c>
      <c r="C5" s="625">
        <v>0.18</v>
      </c>
      <c r="D5" s="625">
        <v>0.18</v>
      </c>
      <c r="E5" s="625">
        <v>0.19</v>
      </c>
      <c r="F5" s="625">
        <v>0.23</v>
      </c>
      <c r="G5" s="625">
        <v>0.28999999999999998</v>
      </c>
    </row>
    <row r="6" spans="1:12" ht="21.75" customHeight="1">
      <c r="A6" s="21" t="s">
        <v>604</v>
      </c>
      <c r="B6" s="626">
        <v>0.63</v>
      </c>
      <c r="C6" s="625">
        <v>0.63</v>
      </c>
      <c r="D6" s="625">
        <v>0.66</v>
      </c>
      <c r="E6" s="625">
        <v>0.67</v>
      </c>
      <c r="F6" s="625">
        <v>0.65</v>
      </c>
      <c r="G6" s="625">
        <v>0.55000000000000004</v>
      </c>
    </row>
    <row r="7" spans="1:12" ht="21.75" customHeight="1">
      <c r="A7" s="21" t="s">
        <v>593</v>
      </c>
      <c r="B7" s="626">
        <v>0.69</v>
      </c>
      <c r="C7" s="625">
        <v>0.71</v>
      </c>
      <c r="D7" s="625">
        <v>0.7</v>
      </c>
      <c r="E7" s="625">
        <v>0.69</v>
      </c>
      <c r="F7" s="625">
        <v>0.72</v>
      </c>
      <c r="G7" s="625">
        <v>0.73</v>
      </c>
    </row>
    <row r="8" spans="1:12" ht="21.75" customHeight="1">
      <c r="A8" s="21" t="s">
        <v>594</v>
      </c>
      <c r="B8" s="626">
        <v>0.27</v>
      </c>
      <c r="C8" s="625">
        <v>0.26</v>
      </c>
      <c r="D8" s="625">
        <v>0.3</v>
      </c>
      <c r="E8" s="625">
        <v>0.27</v>
      </c>
      <c r="F8" s="625">
        <v>0.28000000000000003</v>
      </c>
      <c r="G8" s="625">
        <v>0.27</v>
      </c>
    </row>
    <row r="9" spans="1:12" ht="21.75" customHeight="1">
      <c r="A9" s="155" t="s">
        <v>672</v>
      </c>
      <c r="B9" s="629">
        <v>0.51</v>
      </c>
      <c r="C9" s="627">
        <v>0.52</v>
      </c>
      <c r="D9" s="627">
        <v>0.54</v>
      </c>
      <c r="E9" s="627">
        <v>0.53</v>
      </c>
      <c r="F9" s="627">
        <v>0.55000000000000004</v>
      </c>
      <c r="G9" s="627">
        <v>0.56000000000000005</v>
      </c>
    </row>
    <row r="10" spans="1:12" ht="30.75" customHeight="1">
      <c r="A10" s="738" t="s">
        <v>1442</v>
      </c>
      <c r="B10" s="738"/>
      <c r="C10" s="738"/>
      <c r="D10" s="738"/>
      <c r="E10" s="738"/>
      <c r="F10" s="738"/>
      <c r="G10" s="738"/>
    </row>
    <row r="11" spans="1:12" ht="13.25" customHeight="1">
      <c r="A11" s="51" t="s">
        <v>1443</v>
      </c>
    </row>
    <row r="12" spans="1:12" ht="21.75" customHeight="1"/>
    <row r="13" spans="1:12" ht="21.75" customHeight="1">
      <c r="A13" s="134" t="s">
        <v>1444</v>
      </c>
      <c r="B13" s="365"/>
      <c r="C13" s="365"/>
      <c r="D13" s="365"/>
      <c r="E13" s="365"/>
      <c r="F13" s="365"/>
      <c r="G13" s="365"/>
      <c r="H13" s="365"/>
      <c r="I13" s="365"/>
      <c r="J13" s="365"/>
      <c r="K13" s="365"/>
      <c r="L13" s="365"/>
    </row>
    <row r="14" spans="1:12" ht="21.75" customHeight="1">
      <c r="A14" s="134" t="s">
        <v>1445</v>
      </c>
      <c r="B14" s="177" t="s">
        <v>672</v>
      </c>
      <c r="C14" s="177" t="s">
        <v>1446</v>
      </c>
      <c r="D14" s="177" t="s">
        <v>689</v>
      </c>
      <c r="E14" s="177" t="s">
        <v>676</v>
      </c>
      <c r="F14" s="177" t="s">
        <v>690</v>
      </c>
      <c r="G14" s="177" t="s">
        <v>678</v>
      </c>
      <c r="H14" s="177" t="s">
        <v>590</v>
      </c>
      <c r="I14" s="177" t="s">
        <v>593</v>
      </c>
      <c r="J14" s="177" t="s">
        <v>680</v>
      </c>
      <c r="K14" s="177" t="s">
        <v>691</v>
      </c>
      <c r="L14" s="177" t="s">
        <v>594</v>
      </c>
    </row>
    <row r="15" spans="1:12" ht="21.75" customHeight="1">
      <c r="A15" s="281">
        <v>2018</v>
      </c>
      <c r="B15" s="20">
        <v>9259</v>
      </c>
      <c r="C15" s="20">
        <v>647</v>
      </c>
      <c r="D15" s="20">
        <v>0</v>
      </c>
      <c r="E15" s="20">
        <v>12</v>
      </c>
      <c r="F15" s="20">
        <v>595</v>
      </c>
      <c r="G15" s="20">
        <v>40</v>
      </c>
      <c r="H15" s="24" t="s">
        <v>1447</v>
      </c>
      <c r="I15" s="20">
        <v>5411</v>
      </c>
      <c r="J15" s="20">
        <v>3176</v>
      </c>
      <c r="K15" s="20">
        <v>2235</v>
      </c>
      <c r="L15" s="20">
        <v>633</v>
      </c>
    </row>
    <row r="16" spans="1:12" ht="21.75" customHeight="1">
      <c r="A16" s="281">
        <v>2019</v>
      </c>
      <c r="B16" s="20">
        <v>9269</v>
      </c>
      <c r="C16" s="20">
        <v>616</v>
      </c>
      <c r="D16" s="20">
        <v>19</v>
      </c>
      <c r="E16" s="20">
        <v>21</v>
      </c>
      <c r="F16" s="20">
        <v>535</v>
      </c>
      <c r="G16" s="20">
        <v>41</v>
      </c>
      <c r="H16" s="20">
        <v>2590</v>
      </c>
      <c r="I16" s="20">
        <v>5221</v>
      </c>
      <c r="J16" s="20">
        <v>3502</v>
      </c>
      <c r="K16" s="20">
        <v>1719</v>
      </c>
      <c r="L16" s="20">
        <v>842</v>
      </c>
    </row>
    <row r="17" spans="1:14" ht="21.75" customHeight="1">
      <c r="A17" s="281">
        <v>2020</v>
      </c>
      <c r="B17" s="20">
        <v>8752</v>
      </c>
      <c r="C17" s="20">
        <v>536</v>
      </c>
      <c r="D17" s="20">
        <v>8</v>
      </c>
      <c r="E17" s="20">
        <v>21</v>
      </c>
      <c r="F17" s="20">
        <v>482</v>
      </c>
      <c r="G17" s="20">
        <v>25</v>
      </c>
      <c r="H17" s="20">
        <v>2703</v>
      </c>
      <c r="I17" s="20">
        <v>4802</v>
      </c>
      <c r="J17" s="20">
        <v>3333</v>
      </c>
      <c r="K17" s="20">
        <v>1469</v>
      </c>
      <c r="L17" s="20">
        <v>711</v>
      </c>
    </row>
    <row r="18" spans="1:14" ht="21.75" customHeight="1">
      <c r="A18" s="281">
        <v>2021</v>
      </c>
      <c r="B18" s="20">
        <v>9330</v>
      </c>
      <c r="C18" s="20">
        <v>559</v>
      </c>
      <c r="D18" s="20">
        <v>7</v>
      </c>
      <c r="E18" s="20">
        <v>13</v>
      </c>
      <c r="F18" s="20">
        <v>495</v>
      </c>
      <c r="G18" s="20">
        <v>44</v>
      </c>
      <c r="H18" s="20">
        <v>2977</v>
      </c>
      <c r="I18" s="20">
        <v>5005</v>
      </c>
      <c r="J18" s="20">
        <v>3428</v>
      </c>
      <c r="K18" s="20">
        <v>1577</v>
      </c>
      <c r="L18" s="20">
        <v>789</v>
      </c>
    </row>
    <row r="19" spans="1:14" ht="21.75" customHeight="1">
      <c r="A19" s="281">
        <v>2022</v>
      </c>
      <c r="B19" s="20">
        <v>9473</v>
      </c>
      <c r="C19" s="35">
        <v>610</v>
      </c>
      <c r="D19" s="35">
        <v>7</v>
      </c>
      <c r="E19" s="35">
        <v>14</v>
      </c>
      <c r="F19" s="35">
        <v>530</v>
      </c>
      <c r="G19" s="35">
        <v>59</v>
      </c>
      <c r="H19" s="20">
        <v>3097</v>
      </c>
      <c r="I19" s="20">
        <v>5009</v>
      </c>
      <c r="J19" s="20">
        <v>3504</v>
      </c>
      <c r="K19" s="20">
        <v>1505</v>
      </c>
      <c r="L19" s="35">
        <v>757</v>
      </c>
    </row>
    <row r="20" spans="1:14" ht="21.75" customHeight="1">
      <c r="A20" s="427">
        <v>2023</v>
      </c>
      <c r="B20" s="161">
        <v>8834</v>
      </c>
      <c r="C20" s="428">
        <f>SUM(D20:G20)</f>
        <v>510</v>
      </c>
      <c r="D20" s="428">
        <v>9</v>
      </c>
      <c r="E20" s="428">
        <v>9</v>
      </c>
      <c r="F20" s="428">
        <v>440</v>
      </c>
      <c r="G20" s="428">
        <v>52</v>
      </c>
      <c r="H20" s="161">
        <v>3231</v>
      </c>
      <c r="I20" s="161">
        <f>SUM(J20:K20)</f>
        <v>4538</v>
      </c>
      <c r="J20" s="161">
        <v>3486</v>
      </c>
      <c r="K20" s="161">
        <v>1052</v>
      </c>
      <c r="L20" s="428">
        <v>556</v>
      </c>
    </row>
    <row r="21" spans="1:14" ht="21.75" customHeight="1">
      <c r="A21" s="743" t="s">
        <v>1448</v>
      </c>
      <c r="B21" s="743"/>
      <c r="C21" s="743"/>
      <c r="D21" s="743"/>
      <c r="E21" s="743"/>
      <c r="F21" s="743"/>
      <c r="G21" s="743"/>
      <c r="H21" s="78"/>
      <c r="I21" s="435"/>
      <c r="J21" s="435"/>
      <c r="K21" s="435"/>
      <c r="L21" s="435"/>
      <c r="M21" s="31"/>
      <c r="N21" s="31"/>
    </row>
    <row r="22" spans="1:14" ht="30.75" customHeight="1">
      <c r="A22" s="740" t="s">
        <v>1449</v>
      </c>
      <c r="B22" s="685"/>
      <c r="C22" s="685"/>
      <c r="D22" s="685"/>
      <c r="E22" s="685"/>
      <c r="F22" s="685"/>
      <c r="G22" s="685"/>
      <c r="H22" s="685"/>
      <c r="I22" s="685"/>
      <c r="J22" s="685"/>
      <c r="K22" s="685"/>
      <c r="L22" s="685"/>
      <c r="M22" s="31"/>
      <c r="N22" s="31"/>
    </row>
    <row r="23" spans="1:14" ht="21.75" customHeight="1">
      <c r="A23" s="740" t="s">
        <v>1450</v>
      </c>
      <c r="B23" s="685"/>
      <c r="C23" s="685"/>
      <c r="D23" s="685"/>
      <c r="E23" s="685"/>
      <c r="F23" s="685"/>
      <c r="G23" s="685"/>
      <c r="I23" s="436"/>
      <c r="J23" s="436"/>
      <c r="K23" s="436"/>
      <c r="L23" s="436"/>
      <c r="M23" s="31"/>
      <c r="N23" s="31"/>
    </row>
    <row r="24" spans="1:14" ht="21.75" customHeight="1"/>
    <row r="25" spans="1:14" ht="21.75" customHeight="1">
      <c r="A25" s="134" t="s">
        <v>1451</v>
      </c>
      <c r="B25" s="177" t="s">
        <v>1452</v>
      </c>
      <c r="C25" s="177" t="s">
        <v>1453</v>
      </c>
      <c r="D25" s="177" t="s">
        <v>1454</v>
      </c>
      <c r="E25" s="177" t="s">
        <v>1455</v>
      </c>
      <c r="F25" s="177" t="s">
        <v>1456</v>
      </c>
    </row>
    <row r="26" spans="1:14" ht="21.75" customHeight="1">
      <c r="A26" s="21" t="s">
        <v>589</v>
      </c>
      <c r="B26" s="429">
        <v>364</v>
      </c>
      <c r="C26" s="429">
        <v>146</v>
      </c>
      <c r="D26" s="429">
        <v>0</v>
      </c>
      <c r="E26" s="429">
        <v>0</v>
      </c>
      <c r="F26" s="429">
        <f>SUM(B26:E26)</f>
        <v>510</v>
      </c>
    </row>
    <row r="27" spans="1:14" ht="21.75" customHeight="1">
      <c r="A27" s="21" t="s">
        <v>590</v>
      </c>
      <c r="B27" s="429">
        <v>1684</v>
      </c>
      <c r="C27" s="429">
        <v>1547</v>
      </c>
      <c r="D27" s="429">
        <v>0</v>
      </c>
      <c r="E27" s="429">
        <v>495</v>
      </c>
      <c r="F27" s="429">
        <f>SUM(B27:E27)</f>
        <v>3726</v>
      </c>
    </row>
    <row r="28" spans="1:14" ht="21.75" customHeight="1">
      <c r="A28" s="21" t="s">
        <v>593</v>
      </c>
      <c r="B28" s="429">
        <v>370</v>
      </c>
      <c r="C28" s="429">
        <v>4167</v>
      </c>
      <c r="D28" s="429">
        <v>397</v>
      </c>
      <c r="E28" s="429">
        <v>684</v>
      </c>
      <c r="F28" s="429">
        <f>SUM(B28:E28)</f>
        <v>5618</v>
      </c>
    </row>
    <row r="29" spans="1:14" ht="21.75" customHeight="1">
      <c r="A29" s="73" t="s">
        <v>594</v>
      </c>
      <c r="B29" s="430">
        <v>73</v>
      </c>
      <c r="C29" s="430">
        <v>483</v>
      </c>
      <c r="D29" s="430">
        <v>0</v>
      </c>
      <c r="E29" s="430">
        <v>181</v>
      </c>
      <c r="F29" s="430">
        <f>SUM(B29:E29)</f>
        <v>737</v>
      </c>
    </row>
    <row r="30" spans="1:14" ht="22.5" customHeight="1">
      <c r="A30" s="287" t="s">
        <v>609</v>
      </c>
      <c r="B30" s="431">
        <f>SUM(B26:B29)</f>
        <v>2491</v>
      </c>
      <c r="C30" s="431">
        <f>SUM(C26:C29)</f>
        <v>6343</v>
      </c>
      <c r="D30" s="431">
        <f>SUM(D26:D29)</f>
        <v>397</v>
      </c>
      <c r="E30" s="431">
        <f>SUM(E26:E29)</f>
        <v>1360</v>
      </c>
      <c r="F30" s="431">
        <f>SUM(F26:F29)</f>
        <v>10591</v>
      </c>
    </row>
    <row r="31" spans="1:14" ht="24.25" customHeight="1">
      <c r="A31" s="738" t="s">
        <v>1457</v>
      </c>
      <c r="B31" s="738"/>
      <c r="C31" s="738"/>
      <c r="D31" s="738"/>
      <c r="E31" s="738"/>
      <c r="F31" s="738"/>
    </row>
    <row r="32" spans="1:14" ht="21.75" customHeight="1">
      <c r="F32" s="43"/>
    </row>
    <row r="33" spans="1:14" ht="21.75" customHeight="1">
      <c r="A33" s="134" t="s">
        <v>1458</v>
      </c>
      <c r="B33" s="365"/>
      <c r="C33" s="365"/>
      <c r="D33" s="365"/>
      <c r="E33" s="411"/>
      <c r="F33" s="43"/>
      <c r="G33" s="43"/>
    </row>
    <row r="34" spans="1:14" ht="21.75" customHeight="1">
      <c r="A34" s="134" t="s">
        <v>1459</v>
      </c>
      <c r="B34" s="135">
        <v>2023</v>
      </c>
      <c r="C34" s="135">
        <v>2022</v>
      </c>
      <c r="D34" s="135">
        <v>2021</v>
      </c>
      <c r="E34" s="135">
        <v>2020</v>
      </c>
      <c r="F34" s="135">
        <v>2019</v>
      </c>
      <c r="G34" s="43"/>
    </row>
    <row r="35" spans="1:14" ht="21.75" customHeight="1">
      <c r="A35" s="21" t="s">
        <v>589</v>
      </c>
      <c r="B35" s="35">
        <v>43</v>
      </c>
      <c r="C35" s="35">
        <v>51</v>
      </c>
      <c r="D35" s="35">
        <v>58</v>
      </c>
      <c r="E35" s="35">
        <v>49.577179999999998</v>
      </c>
      <c r="F35" s="136">
        <v>70.94</v>
      </c>
    </row>
    <row r="36" spans="1:14" ht="21.75" customHeight="1">
      <c r="A36" s="21" t="s">
        <v>590</v>
      </c>
      <c r="B36" s="35">
        <v>62</v>
      </c>
      <c r="C36" s="35">
        <v>68</v>
      </c>
      <c r="D36" s="35">
        <v>65</v>
      </c>
      <c r="E36" s="35">
        <v>50.311083510000003</v>
      </c>
      <c r="F36" s="136">
        <v>43.02</v>
      </c>
    </row>
    <row r="37" spans="1:14" ht="21.75" customHeight="1">
      <c r="A37" s="21" t="s">
        <v>593</v>
      </c>
      <c r="B37" s="35">
        <v>21</v>
      </c>
      <c r="C37" s="35">
        <v>22</v>
      </c>
      <c r="D37" s="35">
        <v>21</v>
      </c>
      <c r="E37" s="35">
        <v>20.139524999999999</v>
      </c>
      <c r="F37" s="136">
        <v>7.58</v>
      </c>
    </row>
    <row r="38" spans="1:14" ht="21.75" customHeight="1">
      <c r="A38" s="21" t="s">
        <v>594</v>
      </c>
      <c r="B38" s="35">
        <v>3</v>
      </c>
      <c r="C38" s="35">
        <v>3</v>
      </c>
      <c r="D38" s="35">
        <v>2.5</v>
      </c>
      <c r="E38" s="35">
        <v>2.8653919999999999</v>
      </c>
      <c r="F38" s="136">
        <v>3.3905409999999998</v>
      </c>
    </row>
    <row r="39" spans="1:14" ht="21.75" customHeight="1">
      <c r="A39" s="155" t="s">
        <v>672</v>
      </c>
      <c r="B39" s="194">
        <f>SUM(B35:B38)</f>
        <v>129</v>
      </c>
      <c r="C39" s="195">
        <f>SUM(C35:C38)</f>
        <v>144</v>
      </c>
      <c r="D39" s="195">
        <f>SUM(D35:D38)</f>
        <v>146.5</v>
      </c>
      <c r="E39" s="195">
        <v>122.89318050999999</v>
      </c>
      <c r="F39" s="432">
        <v>124.94</v>
      </c>
    </row>
    <row r="40" spans="1:14" ht="21.75" customHeight="1">
      <c r="A40" s="19"/>
      <c r="B40" s="19"/>
      <c r="C40" s="19"/>
      <c r="D40" s="19"/>
      <c r="E40" s="19"/>
      <c r="F40" s="19"/>
    </row>
    <row r="41" spans="1:14" ht="21.75" customHeight="1">
      <c r="A41" s="134" t="s">
        <v>1460</v>
      </c>
      <c r="B41" s="411"/>
      <c r="C41" s="411"/>
      <c r="D41" s="411"/>
      <c r="E41" s="411"/>
      <c r="F41" s="411"/>
      <c r="G41" s="411"/>
      <c r="H41" s="411"/>
      <c r="I41" s="411"/>
      <c r="J41" s="411"/>
      <c r="K41" s="411"/>
      <c r="L41" s="411"/>
      <c r="M41" s="411"/>
      <c r="N41" s="411"/>
    </row>
    <row r="42" spans="1:14" ht="21.75" customHeight="1">
      <c r="A42" s="134" t="s">
        <v>651</v>
      </c>
      <c r="B42" s="177" t="s">
        <v>1248</v>
      </c>
      <c r="C42" s="177" t="s">
        <v>1249</v>
      </c>
      <c r="D42" s="177" t="s">
        <v>1250</v>
      </c>
      <c r="E42" s="177" t="s">
        <v>1251</v>
      </c>
      <c r="F42" s="177" t="s">
        <v>1252</v>
      </c>
      <c r="G42" s="177" t="s">
        <v>1253</v>
      </c>
      <c r="H42" s="177" t="s">
        <v>1254</v>
      </c>
      <c r="I42" s="177" t="s">
        <v>1255</v>
      </c>
      <c r="J42" s="177" t="s">
        <v>1256</v>
      </c>
      <c r="K42" s="177" t="s">
        <v>1257</v>
      </c>
      <c r="L42" s="177" t="s">
        <v>1258</v>
      </c>
      <c r="M42" s="177" t="s">
        <v>1308</v>
      </c>
      <c r="N42" s="177" t="s">
        <v>609</v>
      </c>
    </row>
    <row r="43" spans="1:14" ht="21.75" customHeight="1">
      <c r="A43" s="21" t="s">
        <v>589</v>
      </c>
      <c r="B43" s="35">
        <v>25</v>
      </c>
      <c r="C43" s="35">
        <v>132</v>
      </c>
      <c r="D43" s="35">
        <v>37</v>
      </c>
      <c r="E43" s="35">
        <v>114</v>
      </c>
      <c r="F43" s="35">
        <v>31</v>
      </c>
      <c r="G43" s="35">
        <v>20</v>
      </c>
      <c r="H43" s="35">
        <v>4</v>
      </c>
      <c r="I43" s="35">
        <v>1</v>
      </c>
      <c r="J43" s="35">
        <v>0</v>
      </c>
      <c r="K43" s="433">
        <v>0</v>
      </c>
      <c r="L43" s="433">
        <v>0</v>
      </c>
      <c r="M43" s="35">
        <v>0</v>
      </c>
      <c r="N43" s="35">
        <f>SUM(B43:M43)</f>
        <v>364</v>
      </c>
    </row>
    <row r="44" spans="1:14" ht="21.75" customHeight="1">
      <c r="A44" s="21" t="s">
        <v>590</v>
      </c>
      <c r="B44" s="35">
        <v>421</v>
      </c>
      <c r="C44" s="35">
        <v>190</v>
      </c>
      <c r="D44" s="35">
        <v>237</v>
      </c>
      <c r="E44" s="35">
        <v>577</v>
      </c>
      <c r="F44" s="35">
        <v>180</v>
      </c>
      <c r="G44" s="35">
        <v>20</v>
      </c>
      <c r="H44" s="35">
        <v>11</v>
      </c>
      <c r="I44" s="35">
        <v>0</v>
      </c>
      <c r="J44" s="35">
        <v>0</v>
      </c>
      <c r="K44" s="35">
        <v>0</v>
      </c>
      <c r="L44" s="35">
        <v>0</v>
      </c>
      <c r="M44" s="35">
        <v>48</v>
      </c>
      <c r="N44" s="136">
        <f>SUM(B44:M44)</f>
        <v>1684</v>
      </c>
    </row>
    <row r="45" spans="1:14" ht="21.75" customHeight="1">
      <c r="A45" s="21" t="s">
        <v>593</v>
      </c>
      <c r="B45" s="35">
        <v>0</v>
      </c>
      <c r="C45" s="35">
        <v>14</v>
      </c>
      <c r="D45" s="35">
        <v>98</v>
      </c>
      <c r="E45" s="35">
        <v>113</v>
      </c>
      <c r="F45" s="35">
        <v>144</v>
      </c>
      <c r="G45" s="35">
        <v>0</v>
      </c>
      <c r="H45" s="35">
        <v>1</v>
      </c>
      <c r="I45" s="35">
        <v>0</v>
      </c>
      <c r="J45" s="35">
        <v>0</v>
      </c>
      <c r="K45" s="35">
        <v>0</v>
      </c>
      <c r="L45" s="35">
        <v>0</v>
      </c>
      <c r="M45" s="35">
        <v>0</v>
      </c>
      <c r="N45" s="35">
        <f>SUM(B45:M45)</f>
        <v>370</v>
      </c>
    </row>
    <row r="46" spans="1:14" ht="21.75" customHeight="1">
      <c r="A46" s="43" t="s">
        <v>594</v>
      </c>
      <c r="B46" s="35">
        <v>0</v>
      </c>
      <c r="C46" s="35">
        <v>22</v>
      </c>
      <c r="D46" s="35">
        <v>35</v>
      </c>
      <c r="E46" s="35">
        <v>15</v>
      </c>
      <c r="F46" s="35">
        <v>1</v>
      </c>
      <c r="G46" s="35">
        <v>0</v>
      </c>
      <c r="H46" s="35">
        <v>0</v>
      </c>
      <c r="I46" s="35">
        <v>0</v>
      </c>
      <c r="J46" s="35">
        <v>0</v>
      </c>
      <c r="K46" s="35">
        <v>0</v>
      </c>
      <c r="L46" s="35">
        <v>0</v>
      </c>
      <c r="M46" s="35">
        <v>0</v>
      </c>
      <c r="N46" s="35">
        <f>SUM(B46:M46)</f>
        <v>73</v>
      </c>
    </row>
    <row r="47" spans="1:14" ht="21.75" customHeight="1">
      <c r="A47" s="155" t="s">
        <v>672</v>
      </c>
      <c r="B47" s="195">
        <f t="shared" ref="B47:M47" si="0">SUM(B43:B46)</f>
        <v>446</v>
      </c>
      <c r="C47" s="195">
        <f t="shared" si="0"/>
        <v>358</v>
      </c>
      <c r="D47" s="195">
        <f t="shared" si="0"/>
        <v>407</v>
      </c>
      <c r="E47" s="195">
        <f t="shared" si="0"/>
        <v>819</v>
      </c>
      <c r="F47" s="195">
        <f t="shared" si="0"/>
        <v>356</v>
      </c>
      <c r="G47" s="195">
        <f t="shared" si="0"/>
        <v>40</v>
      </c>
      <c r="H47" s="195">
        <f t="shared" si="0"/>
        <v>16</v>
      </c>
      <c r="I47" s="195">
        <f t="shared" si="0"/>
        <v>1</v>
      </c>
      <c r="J47" s="195">
        <f t="shared" si="0"/>
        <v>0</v>
      </c>
      <c r="K47" s="195">
        <f t="shared" si="0"/>
        <v>0</v>
      </c>
      <c r="L47" s="195">
        <f t="shared" si="0"/>
        <v>0</v>
      </c>
      <c r="M47" s="195">
        <f t="shared" si="0"/>
        <v>48</v>
      </c>
      <c r="N47" s="434">
        <f>SUM(B47:M47)</f>
        <v>2491</v>
      </c>
    </row>
    <row r="48" spans="1:14" ht="15" customHeight="1">
      <c r="A48" s="44"/>
      <c r="B48" s="44"/>
      <c r="C48" s="44"/>
      <c r="D48" s="44"/>
      <c r="E48" s="44"/>
      <c r="F48" s="44"/>
      <c r="G48" s="44"/>
      <c r="H48" s="44"/>
      <c r="I48" s="44"/>
      <c r="J48" s="44"/>
      <c r="K48" s="44"/>
      <c r="L48" s="44"/>
      <c r="M48" s="44"/>
      <c r="N48" s="44"/>
    </row>
    <row r="49" ht="15" customHeight="1"/>
    <row r="50" ht="15" customHeight="1"/>
  </sheetData>
  <sheetProtection algorithmName="SHA-512" hashValue="aim+BfdHerkdaFcXpzfrYpbz3vK94BFCrWOctbzoMwp7KgI6WSBK8t37IJkW72YlDnAesCtZQ8U49piQxsTRuQ==" saltValue="TpIRoccNa9vRIK1Z/1Glhg==" spinCount="100000" sheet="1" objects="1" scenarios="1"/>
  <mergeCells count="5">
    <mergeCell ref="A10:G10"/>
    <mergeCell ref="A22:L22"/>
    <mergeCell ref="A23:G23"/>
    <mergeCell ref="A21:G21"/>
    <mergeCell ref="A31:F3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03"/>
  <sheetViews>
    <sheetView showGridLines="0" showRuler="0" topLeftCell="A61" workbookViewId="0"/>
  </sheetViews>
  <sheetFormatPr baseColWidth="10" defaultColWidth="12.83203125" defaultRowHeight="13"/>
  <cols>
    <col min="1" max="1" width="55.1640625" customWidth="1"/>
    <col min="2" max="2" width="13" customWidth="1"/>
    <col min="3" max="9" width="14.33203125" customWidth="1"/>
    <col min="10" max="11" width="0" hidden="1"/>
  </cols>
  <sheetData>
    <row r="1" spans="1:11" ht="21.75" customHeight="1">
      <c r="A1" s="134" t="s">
        <v>1461</v>
      </c>
      <c r="B1" s="365"/>
      <c r="C1" s="365"/>
      <c r="D1" s="365"/>
      <c r="E1" s="365"/>
      <c r="F1" s="365"/>
    </row>
    <row r="2" spans="1:11" ht="21.75" customHeight="1"/>
    <row r="3" spans="1:11" ht="21.75" customHeight="1">
      <c r="A3" s="134" t="s">
        <v>1462</v>
      </c>
      <c r="B3" s="365"/>
      <c r="C3" s="365"/>
      <c r="D3" s="365"/>
      <c r="E3" s="365"/>
      <c r="F3" s="365"/>
      <c r="G3" s="365"/>
    </row>
    <row r="4" spans="1:11" ht="21.75" customHeight="1">
      <c r="A4" s="134" t="s">
        <v>1463</v>
      </c>
      <c r="B4" s="135">
        <v>2023</v>
      </c>
      <c r="C4" s="135">
        <v>2022</v>
      </c>
      <c r="D4" s="135">
        <v>2021</v>
      </c>
      <c r="E4" s="135">
        <v>2020</v>
      </c>
      <c r="F4" s="135">
        <v>2019</v>
      </c>
      <c r="G4" s="135">
        <v>2018</v>
      </c>
      <c r="H4" s="43"/>
      <c r="I4" s="43"/>
      <c r="J4" s="135">
        <v>2016</v>
      </c>
      <c r="K4" s="135">
        <v>2014</v>
      </c>
    </row>
    <row r="5" spans="1:11" ht="21.75" customHeight="1">
      <c r="A5" s="21" t="s">
        <v>1446</v>
      </c>
      <c r="B5" s="35">
        <v>30</v>
      </c>
      <c r="C5" s="35">
        <v>27</v>
      </c>
      <c r="D5" s="35">
        <v>25</v>
      </c>
      <c r="E5" s="35">
        <v>23</v>
      </c>
      <c r="F5" s="35">
        <v>21</v>
      </c>
      <c r="G5" s="35">
        <v>24</v>
      </c>
    </row>
    <row r="6" spans="1:11" ht="21.75" customHeight="1">
      <c r="A6" s="21" t="s">
        <v>590</v>
      </c>
      <c r="B6" s="35">
        <v>23</v>
      </c>
      <c r="C6" s="35">
        <v>20</v>
      </c>
      <c r="D6" s="35">
        <v>23</v>
      </c>
      <c r="E6" s="35">
        <v>24</v>
      </c>
      <c r="F6" s="35">
        <v>28</v>
      </c>
      <c r="G6" s="24" t="s">
        <v>1464</v>
      </c>
      <c r="J6" s="437">
        <v>7.0000000000000007E-2</v>
      </c>
      <c r="K6" s="437">
        <v>0.06</v>
      </c>
    </row>
    <row r="7" spans="1:11" ht="21.75" customHeight="1">
      <c r="A7" s="21" t="s">
        <v>593</v>
      </c>
      <c r="B7" s="35">
        <v>56</v>
      </c>
      <c r="C7" s="35">
        <v>42</v>
      </c>
      <c r="D7" s="35">
        <v>45</v>
      </c>
      <c r="E7" s="35">
        <v>42</v>
      </c>
      <c r="F7" s="35">
        <v>56</v>
      </c>
      <c r="G7" s="35">
        <v>32</v>
      </c>
      <c r="J7" s="437">
        <v>0.71</v>
      </c>
      <c r="K7" s="437">
        <v>0.69</v>
      </c>
    </row>
    <row r="8" spans="1:11" ht="21.75" customHeight="1">
      <c r="A8" s="21" t="s">
        <v>594</v>
      </c>
      <c r="B8" s="35">
        <v>13</v>
      </c>
      <c r="C8" s="35">
        <v>13</v>
      </c>
      <c r="D8" s="35">
        <v>15</v>
      </c>
      <c r="E8" s="35">
        <v>14</v>
      </c>
      <c r="F8" s="35">
        <v>15</v>
      </c>
      <c r="G8" s="35">
        <v>16</v>
      </c>
      <c r="J8" s="437">
        <v>0.14000000000000001</v>
      </c>
      <c r="K8" s="437">
        <v>0.09</v>
      </c>
    </row>
    <row r="9" spans="1:11" ht="21.75" customHeight="1">
      <c r="A9" s="155" t="s">
        <v>1465</v>
      </c>
      <c r="B9" s="194">
        <v>37</v>
      </c>
      <c r="C9" s="195">
        <v>31</v>
      </c>
      <c r="D9" s="195">
        <v>31</v>
      </c>
      <c r="E9" s="195">
        <v>29</v>
      </c>
      <c r="F9" s="195">
        <v>34</v>
      </c>
      <c r="G9" s="195">
        <v>27</v>
      </c>
      <c r="J9" s="153">
        <v>0.38</v>
      </c>
      <c r="K9" s="153">
        <v>0.38508997429305902</v>
      </c>
    </row>
    <row r="10" spans="1:11" ht="41.75" customHeight="1">
      <c r="A10" s="738" t="s">
        <v>1466</v>
      </c>
      <c r="B10" s="738"/>
      <c r="C10" s="738"/>
      <c r="D10" s="738"/>
      <c r="E10" s="738"/>
      <c r="F10" s="738"/>
      <c r="G10" s="738"/>
      <c r="J10" s="30"/>
      <c r="K10" s="30"/>
    </row>
    <row r="11" spans="1:11" ht="33.25" customHeight="1">
      <c r="A11" s="740" t="s">
        <v>1467</v>
      </c>
      <c r="B11" s="685"/>
      <c r="C11" s="685"/>
      <c r="D11" s="685"/>
      <c r="E11" s="685"/>
      <c r="F11" s="685"/>
      <c r="G11" s="685"/>
    </row>
    <row r="12" spans="1:11" ht="21.75" customHeight="1">
      <c r="A12" s="51" t="s">
        <v>1468</v>
      </c>
    </row>
    <row r="13" spans="1:11" ht="33.25" customHeight="1">
      <c r="A13" s="740" t="s">
        <v>1469</v>
      </c>
      <c r="B13" s="685"/>
      <c r="C13" s="685"/>
      <c r="D13" s="685"/>
      <c r="E13" s="685"/>
      <c r="F13" s="685"/>
      <c r="G13" s="685"/>
    </row>
    <row r="14" spans="1:11" ht="21.75" customHeight="1"/>
    <row r="15" spans="1:11" ht="21.75" customHeight="1">
      <c r="A15" s="134" t="s">
        <v>1470</v>
      </c>
      <c r="B15" s="365"/>
      <c r="C15" s="365" t="s">
        <v>1471</v>
      </c>
      <c r="D15" s="365"/>
      <c r="E15" s="365"/>
      <c r="F15" s="365"/>
      <c r="G15" s="365"/>
    </row>
    <row r="16" spans="1:11" ht="21.75" customHeight="1">
      <c r="A16" s="134" t="s">
        <v>589</v>
      </c>
      <c r="B16" s="135">
        <v>2023</v>
      </c>
      <c r="C16" s="135">
        <v>2022</v>
      </c>
      <c r="D16" s="135">
        <v>2021</v>
      </c>
      <c r="E16" s="135">
        <v>2020</v>
      </c>
      <c r="F16" s="135">
        <v>2019</v>
      </c>
      <c r="G16" s="135">
        <v>2018</v>
      </c>
    </row>
    <row r="17" spans="1:7" ht="21.75" customHeight="1">
      <c r="A17" s="21" t="s">
        <v>643</v>
      </c>
      <c r="B17" s="241">
        <v>30</v>
      </c>
      <c r="C17" s="117">
        <v>27</v>
      </c>
      <c r="D17" s="117">
        <v>25</v>
      </c>
      <c r="E17" s="117">
        <v>23</v>
      </c>
      <c r="F17" s="438">
        <v>5</v>
      </c>
      <c r="G17" s="117">
        <v>24</v>
      </c>
    </row>
    <row r="18" spans="1:7" ht="21.75" customHeight="1">
      <c r="A18" s="155" t="s">
        <v>644</v>
      </c>
      <c r="B18" s="285">
        <v>21.5</v>
      </c>
      <c r="C18" s="285">
        <v>21.5</v>
      </c>
      <c r="D18" s="285">
        <v>22</v>
      </c>
      <c r="E18" s="285">
        <v>21</v>
      </c>
      <c r="F18" s="285">
        <v>24</v>
      </c>
      <c r="G18" s="285">
        <v>18</v>
      </c>
    </row>
    <row r="19" spans="1:7" ht="21.75" customHeight="1">
      <c r="A19" s="115"/>
      <c r="B19" s="237"/>
      <c r="C19" s="131"/>
      <c r="D19" s="237"/>
      <c r="E19" s="237"/>
      <c r="F19" s="237"/>
      <c r="G19" s="131"/>
    </row>
    <row r="20" spans="1:7" ht="21.75" customHeight="1">
      <c r="A20" s="134" t="s">
        <v>590</v>
      </c>
      <c r="B20" s="135">
        <v>2023</v>
      </c>
      <c r="C20" s="439">
        <v>2022</v>
      </c>
      <c r="D20" s="135">
        <v>2021</v>
      </c>
      <c r="E20" s="135">
        <v>2020</v>
      </c>
      <c r="F20" s="135">
        <v>2019</v>
      </c>
      <c r="G20" s="135">
        <v>2018</v>
      </c>
    </row>
    <row r="21" spans="1:7" ht="21.75" customHeight="1">
      <c r="A21" s="21" t="s">
        <v>643</v>
      </c>
      <c r="B21" s="241">
        <v>23</v>
      </c>
      <c r="C21" s="117">
        <v>20</v>
      </c>
      <c r="D21" s="117">
        <v>23</v>
      </c>
      <c r="E21" s="117">
        <v>24</v>
      </c>
      <c r="F21" s="438">
        <v>28</v>
      </c>
      <c r="G21" s="117">
        <v>29</v>
      </c>
    </row>
    <row r="22" spans="1:7" ht="21.75" customHeight="1">
      <c r="A22" s="155" t="s">
        <v>644</v>
      </c>
      <c r="B22" s="285">
        <v>25</v>
      </c>
      <c r="C22" s="285">
        <v>20</v>
      </c>
      <c r="D22" s="285">
        <v>25</v>
      </c>
      <c r="E22" s="285">
        <v>25</v>
      </c>
      <c r="F22" s="285">
        <v>25</v>
      </c>
      <c r="G22" s="285">
        <v>25</v>
      </c>
    </row>
    <row r="23" spans="1:7" ht="21.75" customHeight="1">
      <c r="A23" s="115"/>
      <c r="B23" s="237"/>
      <c r="C23" s="131"/>
      <c r="D23" s="237"/>
      <c r="E23" s="237"/>
      <c r="F23" s="237"/>
      <c r="G23" s="131"/>
    </row>
    <row r="24" spans="1:7" ht="21.75" customHeight="1">
      <c r="A24" s="134" t="s">
        <v>593</v>
      </c>
      <c r="B24" s="135">
        <v>2023</v>
      </c>
      <c r="C24" s="439">
        <v>2022</v>
      </c>
      <c r="D24" s="135">
        <v>2021</v>
      </c>
      <c r="E24" s="135">
        <v>2020</v>
      </c>
      <c r="F24" s="135">
        <v>2019</v>
      </c>
      <c r="G24" s="135">
        <v>2018</v>
      </c>
    </row>
    <row r="25" spans="1:7" ht="21.75" customHeight="1">
      <c r="A25" s="21" t="s">
        <v>643</v>
      </c>
      <c r="B25" s="241">
        <v>56</v>
      </c>
      <c r="C25" s="117">
        <v>42</v>
      </c>
      <c r="D25" s="117">
        <v>45</v>
      </c>
      <c r="E25" s="117">
        <v>42</v>
      </c>
      <c r="F25" s="438">
        <v>56</v>
      </c>
      <c r="G25" s="117">
        <v>16</v>
      </c>
    </row>
    <row r="26" spans="1:7" ht="21.75" customHeight="1">
      <c r="A26" s="155" t="s">
        <v>644</v>
      </c>
      <c r="B26" s="285">
        <v>42.6</v>
      </c>
      <c r="C26" s="285">
        <v>37</v>
      </c>
      <c r="D26" s="285">
        <v>37</v>
      </c>
      <c r="E26" s="285">
        <v>36</v>
      </c>
      <c r="F26" s="285">
        <v>25</v>
      </c>
      <c r="G26" s="285">
        <v>15</v>
      </c>
    </row>
    <row r="27" spans="1:7" ht="21.75" customHeight="1">
      <c r="A27" s="115"/>
      <c r="B27" s="237"/>
      <c r="C27" s="131"/>
      <c r="D27" s="237"/>
      <c r="E27" s="237"/>
      <c r="F27" s="237"/>
      <c r="G27" s="131"/>
    </row>
    <row r="28" spans="1:7" ht="21.75" customHeight="1">
      <c r="A28" s="134" t="s">
        <v>594</v>
      </c>
      <c r="B28" s="135">
        <v>2023</v>
      </c>
      <c r="C28" s="439">
        <v>2022</v>
      </c>
      <c r="D28" s="135">
        <v>2021</v>
      </c>
      <c r="E28" s="135">
        <v>2020</v>
      </c>
      <c r="F28" s="135">
        <v>2019</v>
      </c>
      <c r="G28" s="135">
        <v>2018</v>
      </c>
    </row>
    <row r="29" spans="1:7" ht="21.75" customHeight="1">
      <c r="A29" s="21" t="s">
        <v>643</v>
      </c>
      <c r="B29" s="241">
        <v>13</v>
      </c>
      <c r="C29" s="117">
        <v>13</v>
      </c>
      <c r="D29" s="117">
        <v>15</v>
      </c>
      <c r="E29" s="117">
        <v>14</v>
      </c>
      <c r="F29" s="438">
        <v>15</v>
      </c>
      <c r="G29" s="117">
        <v>16</v>
      </c>
    </row>
    <row r="30" spans="1:7" ht="21.75" customHeight="1">
      <c r="A30" s="155" t="s">
        <v>644</v>
      </c>
      <c r="B30" s="285">
        <v>12.5</v>
      </c>
      <c r="C30" s="285">
        <v>13</v>
      </c>
      <c r="D30" s="285">
        <v>13</v>
      </c>
      <c r="E30" s="285">
        <v>13</v>
      </c>
      <c r="F30" s="285">
        <v>13</v>
      </c>
      <c r="G30" s="285">
        <v>9</v>
      </c>
    </row>
    <row r="31" spans="1:7" ht="21.75" customHeight="1">
      <c r="A31" s="19"/>
      <c r="B31" s="131"/>
      <c r="C31" s="131"/>
      <c r="D31" s="131"/>
      <c r="E31" s="131"/>
      <c r="F31" s="131"/>
      <c r="G31" s="131"/>
    </row>
    <row r="32" spans="1:7" ht="21.75" customHeight="1">
      <c r="A32" s="134" t="s">
        <v>1465</v>
      </c>
      <c r="B32" s="135">
        <v>2023</v>
      </c>
      <c r="C32" s="439">
        <v>2022</v>
      </c>
      <c r="D32" s="135">
        <v>2021</v>
      </c>
      <c r="E32" s="135">
        <v>2020</v>
      </c>
      <c r="F32" s="135">
        <v>2019</v>
      </c>
      <c r="G32" s="135">
        <v>2018</v>
      </c>
    </row>
    <row r="33" spans="1:11" ht="21.75" customHeight="1">
      <c r="A33" s="21" t="s">
        <v>643</v>
      </c>
      <c r="B33" s="241">
        <v>37</v>
      </c>
      <c r="C33" s="117">
        <v>31</v>
      </c>
      <c r="D33" s="117">
        <v>31</v>
      </c>
      <c r="E33" s="117">
        <v>29</v>
      </c>
      <c r="F33" s="438">
        <v>34</v>
      </c>
      <c r="G33" s="117">
        <v>27</v>
      </c>
    </row>
    <row r="34" spans="1:11" ht="21.75" customHeight="1">
      <c r="A34" s="155" t="s">
        <v>644</v>
      </c>
      <c r="B34" s="285">
        <v>29.5</v>
      </c>
      <c r="C34" s="285">
        <v>28</v>
      </c>
      <c r="D34" s="285">
        <v>25</v>
      </c>
      <c r="E34" s="285">
        <v>25</v>
      </c>
      <c r="F34" s="285">
        <v>23</v>
      </c>
      <c r="G34" s="285">
        <v>25</v>
      </c>
    </row>
    <row r="35" spans="1:11" ht="21.75" customHeight="1">
      <c r="A35" s="115"/>
      <c r="B35" s="115"/>
      <c r="C35" s="115"/>
      <c r="D35" s="115"/>
      <c r="E35" s="115"/>
      <c r="F35" s="115"/>
      <c r="G35" s="19"/>
    </row>
    <row r="36" spans="1:11" ht="21.75" customHeight="1">
      <c r="A36" s="134" t="s">
        <v>1472</v>
      </c>
      <c r="B36" s="365"/>
      <c r="C36" s="365"/>
      <c r="D36" s="365"/>
      <c r="E36" s="365"/>
      <c r="F36" s="365"/>
      <c r="G36" s="365"/>
    </row>
    <row r="37" spans="1:11" ht="21.75" customHeight="1">
      <c r="A37" s="134" t="s">
        <v>1463</v>
      </c>
      <c r="B37" s="135">
        <v>2023</v>
      </c>
      <c r="C37" s="135">
        <v>2022</v>
      </c>
      <c r="D37" s="135">
        <v>2021</v>
      </c>
      <c r="E37" s="135">
        <v>2020</v>
      </c>
      <c r="F37" s="135">
        <v>2019</v>
      </c>
      <c r="G37" s="135">
        <v>2018</v>
      </c>
      <c r="J37" s="135">
        <v>2016</v>
      </c>
      <c r="K37" s="135">
        <v>2014</v>
      </c>
    </row>
    <row r="38" spans="1:11" ht="21.75" customHeight="1">
      <c r="A38" s="21" t="s">
        <v>589</v>
      </c>
      <c r="B38" s="35">
        <v>99</v>
      </c>
      <c r="C38" s="35">
        <v>99</v>
      </c>
      <c r="D38" s="35">
        <v>99</v>
      </c>
      <c r="E38" s="35">
        <v>99</v>
      </c>
      <c r="F38" s="35">
        <v>99</v>
      </c>
      <c r="G38" s="35">
        <v>99</v>
      </c>
    </row>
    <row r="39" spans="1:11" ht="21.75" customHeight="1">
      <c r="A39" s="21" t="s">
        <v>590</v>
      </c>
      <c r="B39" s="35">
        <v>100</v>
      </c>
      <c r="C39" s="35">
        <v>100</v>
      </c>
      <c r="D39" s="35">
        <v>100</v>
      </c>
      <c r="E39" s="35">
        <v>100</v>
      </c>
      <c r="F39" s="35">
        <v>100</v>
      </c>
      <c r="G39" s="35">
        <v>100</v>
      </c>
      <c r="J39" s="437">
        <v>0.79</v>
      </c>
      <c r="K39" s="437">
        <v>0.72</v>
      </c>
    </row>
    <row r="40" spans="1:11" ht="21.75" customHeight="1">
      <c r="A40" s="21" t="s">
        <v>593</v>
      </c>
      <c r="B40" s="35">
        <v>93</v>
      </c>
      <c r="C40" s="35">
        <v>94</v>
      </c>
      <c r="D40" s="35">
        <v>92</v>
      </c>
      <c r="E40" s="35">
        <v>91</v>
      </c>
      <c r="F40" s="35">
        <v>91</v>
      </c>
      <c r="G40" s="35">
        <v>86</v>
      </c>
      <c r="J40" s="437">
        <v>0.99</v>
      </c>
      <c r="K40" s="437">
        <v>0.99</v>
      </c>
    </row>
    <row r="41" spans="1:11" ht="21.75" customHeight="1">
      <c r="A41" s="21" t="s">
        <v>594</v>
      </c>
      <c r="B41" s="35">
        <v>96</v>
      </c>
      <c r="C41" s="35">
        <v>94</v>
      </c>
      <c r="D41" s="35">
        <v>95</v>
      </c>
      <c r="E41" s="35">
        <v>96</v>
      </c>
      <c r="F41" s="35">
        <v>96</v>
      </c>
      <c r="G41" s="35">
        <v>96</v>
      </c>
      <c r="J41" s="440">
        <v>1</v>
      </c>
      <c r="K41" s="440">
        <v>1</v>
      </c>
    </row>
    <row r="42" spans="1:11" ht="21.75" customHeight="1">
      <c r="A42" s="155" t="s">
        <v>1465</v>
      </c>
      <c r="B42" s="194">
        <v>97</v>
      </c>
      <c r="C42" s="195">
        <v>97</v>
      </c>
      <c r="D42" s="195">
        <v>96</v>
      </c>
      <c r="E42" s="195">
        <v>96</v>
      </c>
      <c r="F42" s="195">
        <v>96</v>
      </c>
      <c r="G42" s="195">
        <v>93</v>
      </c>
      <c r="J42" s="153">
        <v>0.92</v>
      </c>
      <c r="K42" s="153">
        <v>0.90681233933161998</v>
      </c>
    </row>
    <row r="43" spans="1:11" ht="21.75" customHeight="1">
      <c r="A43" s="426"/>
      <c r="B43" s="426"/>
      <c r="C43" s="426"/>
      <c r="D43" s="426"/>
      <c r="E43" s="426"/>
      <c r="F43" s="426"/>
      <c r="G43" s="426"/>
      <c r="H43" s="43"/>
      <c r="I43" s="43"/>
      <c r="J43" s="19"/>
      <c r="K43" s="426"/>
    </row>
    <row r="44" spans="1:11" ht="21.75" customHeight="1">
      <c r="A44" s="134" t="s">
        <v>1473</v>
      </c>
      <c r="B44" s="365"/>
      <c r="C44" s="365"/>
      <c r="D44" s="365"/>
      <c r="E44" s="365"/>
      <c r="F44" s="365"/>
      <c r="G44" s="365"/>
      <c r="H44" s="43"/>
    </row>
    <row r="45" spans="1:11" ht="21.75" customHeight="1">
      <c r="A45" s="134"/>
      <c r="B45" s="751" t="s">
        <v>1474</v>
      </c>
      <c r="C45" s="751"/>
      <c r="D45" s="751" t="s">
        <v>1475</v>
      </c>
      <c r="E45" s="751"/>
      <c r="F45" s="348" t="s">
        <v>609</v>
      </c>
    </row>
    <row r="46" spans="1:11" ht="21.75" customHeight="1">
      <c r="A46" s="258" t="s">
        <v>1463</v>
      </c>
      <c r="B46" s="369" t="s">
        <v>1476</v>
      </c>
      <c r="C46" s="369" t="s">
        <v>1296</v>
      </c>
      <c r="D46" s="369" t="s">
        <v>1476</v>
      </c>
      <c r="E46" s="369" t="s">
        <v>1296</v>
      </c>
      <c r="F46" s="369" t="s">
        <v>1476</v>
      </c>
    </row>
    <row r="47" spans="1:11" ht="21.75" customHeight="1">
      <c r="A47" s="361" t="s">
        <v>589</v>
      </c>
      <c r="B47" s="441">
        <v>1212</v>
      </c>
      <c r="C47" s="442">
        <v>99</v>
      </c>
      <c r="D47" s="442">
        <v>14</v>
      </c>
      <c r="E47" s="442">
        <v>1</v>
      </c>
      <c r="F47" s="441">
        <v>1226</v>
      </c>
    </row>
    <row r="48" spans="1:11" ht="21.75" customHeight="1">
      <c r="A48" s="103" t="s">
        <v>689</v>
      </c>
      <c r="B48" s="306">
        <v>305</v>
      </c>
      <c r="C48" s="306">
        <v>99</v>
      </c>
      <c r="D48" s="306">
        <v>2</v>
      </c>
      <c r="E48" s="306">
        <v>0.99681839843561904</v>
      </c>
      <c r="F48" s="306">
        <v>308</v>
      </c>
    </row>
    <row r="49" spans="1:6" ht="21.75" customHeight="1">
      <c r="A49" s="21" t="s">
        <v>676</v>
      </c>
      <c r="B49" s="35">
        <v>223</v>
      </c>
      <c r="C49" s="35">
        <v>100</v>
      </c>
      <c r="D49" s="35">
        <v>8.7441054630249898E-2</v>
      </c>
      <c r="E49" s="35">
        <v>3.8408611883980301E-2</v>
      </c>
      <c r="F49" s="35">
        <v>223</v>
      </c>
    </row>
    <row r="50" spans="1:6" ht="21.75" customHeight="1">
      <c r="A50" s="21" t="s">
        <v>690</v>
      </c>
      <c r="B50" s="35">
        <v>393</v>
      </c>
      <c r="C50" s="35">
        <v>99.954044540774106</v>
      </c>
      <c r="D50" s="35">
        <v>0.13682130473965001</v>
      </c>
      <c r="E50" s="35">
        <v>4.5955459225560803E-2</v>
      </c>
      <c r="F50" s="35">
        <v>393</v>
      </c>
    </row>
    <row r="51" spans="1:6" ht="21.75" customHeight="1">
      <c r="A51" s="21" t="s">
        <v>678</v>
      </c>
      <c r="B51" s="35">
        <v>237</v>
      </c>
      <c r="C51" s="35">
        <v>99.995726831433899</v>
      </c>
      <c r="D51" s="35">
        <v>9.1437846400700008E-3</v>
      </c>
      <c r="E51" s="35">
        <v>4.27316856613326E-3</v>
      </c>
      <c r="F51" s="35">
        <v>237</v>
      </c>
    </row>
    <row r="52" spans="1:6" ht="21.75" customHeight="1">
      <c r="A52" s="73" t="s">
        <v>1477</v>
      </c>
      <c r="B52" s="74">
        <v>53</v>
      </c>
      <c r="C52" s="74">
        <v>83</v>
      </c>
      <c r="D52" s="74">
        <v>11</v>
      </c>
      <c r="E52" s="74">
        <v>17</v>
      </c>
      <c r="F52" s="74">
        <v>64</v>
      </c>
    </row>
    <row r="53" spans="1:6" ht="21.75" customHeight="1">
      <c r="A53" s="319" t="s">
        <v>590</v>
      </c>
      <c r="B53" s="443">
        <v>249</v>
      </c>
      <c r="C53" s="443">
        <v>100</v>
      </c>
      <c r="D53" s="443">
        <v>-5.8999999999999395E-13</v>
      </c>
      <c r="E53" s="443">
        <v>-2.66840236512374E-13</v>
      </c>
      <c r="F53" s="443">
        <v>249</v>
      </c>
    </row>
    <row r="54" spans="1:6" ht="21.75" customHeight="1">
      <c r="A54" s="319" t="s">
        <v>593</v>
      </c>
      <c r="B54" s="443">
        <v>841</v>
      </c>
      <c r="C54" s="443">
        <v>93</v>
      </c>
      <c r="D54" s="443">
        <v>60</v>
      </c>
      <c r="E54" s="443">
        <v>7</v>
      </c>
      <c r="F54" s="443">
        <v>901</v>
      </c>
    </row>
    <row r="55" spans="1:6" ht="21.75" customHeight="1">
      <c r="A55" s="103" t="s">
        <v>680</v>
      </c>
      <c r="B55" s="306">
        <v>671</v>
      </c>
      <c r="C55" s="306">
        <v>94</v>
      </c>
      <c r="D55" s="306">
        <v>42</v>
      </c>
      <c r="E55" s="306">
        <v>6</v>
      </c>
      <c r="F55" s="306">
        <v>713</v>
      </c>
    </row>
    <row r="56" spans="1:6" ht="21.75" customHeight="1">
      <c r="A56" s="73" t="s">
        <v>691</v>
      </c>
      <c r="B56" s="74">
        <v>170</v>
      </c>
      <c r="C56" s="74">
        <v>90</v>
      </c>
      <c r="D56" s="74">
        <v>18</v>
      </c>
      <c r="E56" s="74">
        <v>10</v>
      </c>
      <c r="F56" s="74">
        <v>188</v>
      </c>
    </row>
    <row r="57" spans="1:6" ht="21.75" customHeight="1">
      <c r="A57" s="319" t="s">
        <v>594</v>
      </c>
      <c r="B57" s="443">
        <v>234</v>
      </c>
      <c r="C57" s="443">
        <v>96</v>
      </c>
      <c r="D57" s="443">
        <v>9</v>
      </c>
      <c r="E57" s="443">
        <v>4</v>
      </c>
      <c r="F57" s="443">
        <v>243</v>
      </c>
    </row>
    <row r="58" spans="1:6" ht="21.75" customHeight="1">
      <c r="A58" s="296" t="s">
        <v>672</v>
      </c>
      <c r="B58" s="444">
        <v>2537</v>
      </c>
      <c r="C58" s="297">
        <v>97</v>
      </c>
      <c r="D58" s="297">
        <f>SUM(D47,D53,D54,D57)</f>
        <v>82.999999999999403</v>
      </c>
      <c r="E58" s="297">
        <v>3</v>
      </c>
      <c r="F58" s="444">
        <v>2620</v>
      </c>
    </row>
    <row r="59" spans="1:6" ht="21.75" customHeight="1">
      <c r="A59" s="220"/>
      <c r="B59" s="220"/>
      <c r="C59" s="220"/>
      <c r="D59" s="220"/>
      <c r="E59" s="220"/>
      <c r="F59" s="220"/>
    </row>
    <row r="60" spans="1:6" ht="21.75" customHeight="1">
      <c r="A60" s="745" t="s">
        <v>1478</v>
      </c>
      <c r="B60" s="745"/>
      <c r="C60" s="411"/>
      <c r="D60" s="411"/>
      <c r="E60" s="106"/>
    </row>
    <row r="61" spans="1:6" ht="21.75" customHeight="1">
      <c r="A61" s="258" t="s">
        <v>1463</v>
      </c>
      <c r="B61" s="369" t="s">
        <v>1476</v>
      </c>
      <c r="C61" s="369" t="s">
        <v>1296</v>
      </c>
    </row>
    <row r="62" spans="1:6" ht="21.75" customHeight="1">
      <c r="A62" s="361" t="s">
        <v>589</v>
      </c>
      <c r="B62" s="442">
        <v>349</v>
      </c>
      <c r="C62" s="442">
        <v>30</v>
      </c>
    </row>
    <row r="63" spans="1:6" ht="21.75" customHeight="1">
      <c r="A63" s="103" t="s">
        <v>689</v>
      </c>
      <c r="B63" s="306">
        <v>38</v>
      </c>
      <c r="C63" s="306">
        <v>12</v>
      </c>
    </row>
    <row r="64" spans="1:6" ht="21.75" customHeight="1">
      <c r="A64" s="21" t="s">
        <v>676</v>
      </c>
      <c r="B64" s="35">
        <v>104</v>
      </c>
      <c r="C64" s="35">
        <v>47</v>
      </c>
    </row>
    <row r="65" spans="1:5" ht="21.75" customHeight="1">
      <c r="A65" s="21" t="s">
        <v>690</v>
      </c>
      <c r="B65" s="35">
        <v>137</v>
      </c>
      <c r="C65" s="35">
        <v>35</v>
      </c>
    </row>
    <row r="66" spans="1:5" ht="21.75" customHeight="1">
      <c r="A66" s="73" t="s">
        <v>678</v>
      </c>
      <c r="B66" s="74">
        <v>70</v>
      </c>
      <c r="C66" s="74">
        <v>29</v>
      </c>
    </row>
    <row r="67" spans="1:5" ht="21.75" customHeight="1">
      <c r="A67" s="319" t="s">
        <v>590</v>
      </c>
      <c r="B67" s="443">
        <v>58</v>
      </c>
      <c r="C67" s="443">
        <v>23</v>
      </c>
    </row>
    <row r="68" spans="1:5" ht="21.75" customHeight="1">
      <c r="A68" s="319" t="s">
        <v>593</v>
      </c>
      <c r="B68" s="443">
        <v>503</v>
      </c>
      <c r="C68" s="443">
        <v>56</v>
      </c>
    </row>
    <row r="69" spans="1:5" ht="21.75" customHeight="1">
      <c r="A69" s="103" t="s">
        <v>680</v>
      </c>
      <c r="B69" s="306">
        <v>391</v>
      </c>
      <c r="C69" s="306">
        <v>55</v>
      </c>
    </row>
    <row r="70" spans="1:5" ht="21.75" customHeight="1">
      <c r="A70" s="73" t="s">
        <v>691</v>
      </c>
      <c r="B70" s="74">
        <v>23</v>
      </c>
      <c r="C70" s="74">
        <v>12</v>
      </c>
    </row>
    <row r="71" spans="1:5" ht="21.75" customHeight="1">
      <c r="A71" s="319" t="s">
        <v>594</v>
      </c>
      <c r="B71" s="443">
        <v>31</v>
      </c>
      <c r="C71" s="443">
        <v>13</v>
      </c>
    </row>
    <row r="72" spans="1:5" ht="21.75" customHeight="1">
      <c r="A72" s="296" t="s">
        <v>672</v>
      </c>
      <c r="B72" s="297">
        <f>SUM(B62,B71,B67,B68)</f>
        <v>941</v>
      </c>
      <c r="C72" s="297">
        <v>37</v>
      </c>
    </row>
    <row r="73" spans="1:5" ht="21.75" customHeight="1">
      <c r="A73" s="220"/>
      <c r="B73" s="220"/>
      <c r="C73" s="220"/>
    </row>
    <row r="74" spans="1:5" ht="21.75" customHeight="1">
      <c r="A74" s="134" t="s">
        <v>1479</v>
      </c>
      <c r="B74" s="365"/>
      <c r="C74" s="411"/>
      <c r="D74" s="411"/>
      <c r="E74" s="411"/>
    </row>
    <row r="75" spans="1:5" ht="40" customHeight="1">
      <c r="A75" s="134" t="s">
        <v>1463</v>
      </c>
      <c r="B75" s="177" t="s">
        <v>1480</v>
      </c>
      <c r="C75" s="177" t="s">
        <v>1481</v>
      </c>
      <c r="D75" s="177" t="s">
        <v>1296</v>
      </c>
    </row>
    <row r="76" spans="1:5" ht="16.75" customHeight="1">
      <c r="A76" s="21" t="s">
        <v>589</v>
      </c>
      <c r="B76" s="136">
        <v>354</v>
      </c>
      <c r="C76" s="136">
        <v>1611</v>
      </c>
      <c r="D76" s="136">
        <f>(B76/C76)*100</f>
        <v>21.973929236499067</v>
      </c>
    </row>
    <row r="77" spans="1:5" ht="21.75" customHeight="1">
      <c r="A77" s="21" t="s">
        <v>590</v>
      </c>
      <c r="B77" s="136">
        <v>74</v>
      </c>
      <c r="C77" s="136">
        <v>790</v>
      </c>
      <c r="D77" s="136">
        <f>(B77/C77)*100</f>
        <v>9.3670886075949369</v>
      </c>
    </row>
    <row r="78" spans="1:5" ht="21.75" customHeight="1">
      <c r="A78" s="21" t="s">
        <v>593</v>
      </c>
      <c r="B78" s="136">
        <v>78</v>
      </c>
      <c r="C78" s="136">
        <v>2257</v>
      </c>
      <c r="D78" s="136">
        <f>(B78/C78)*100</f>
        <v>3.4559149313247675</v>
      </c>
    </row>
    <row r="79" spans="1:5" ht="21.75" customHeight="1">
      <c r="A79" s="21" t="s">
        <v>594</v>
      </c>
      <c r="B79" s="136">
        <v>237</v>
      </c>
      <c r="C79" s="136">
        <v>1638</v>
      </c>
      <c r="D79" s="136">
        <f>(B79/C79)*100</f>
        <v>14.468864468864471</v>
      </c>
    </row>
    <row r="80" spans="1:5" ht="21.75" customHeight="1">
      <c r="A80" s="155" t="s">
        <v>672</v>
      </c>
      <c r="B80" s="233">
        <f>SUM(B76:B79)</f>
        <v>743</v>
      </c>
      <c r="C80" s="445">
        <f>SUM(C76:C79)</f>
        <v>6296</v>
      </c>
      <c r="D80" s="194">
        <f>(B80/C80)*100</f>
        <v>11.801143583227445</v>
      </c>
    </row>
    <row r="81" spans="1:4" ht="21.75" customHeight="1">
      <c r="A81" s="115"/>
      <c r="B81" s="115"/>
      <c r="C81" s="220"/>
      <c r="D81" s="115"/>
    </row>
    <row r="82" spans="1:4" ht="40" customHeight="1">
      <c r="A82" s="134" t="s">
        <v>1482</v>
      </c>
      <c r="B82" s="177" t="s">
        <v>1476</v>
      </c>
      <c r="C82" s="177" t="s">
        <v>1483</v>
      </c>
    </row>
    <row r="83" spans="1:4" ht="21.75" customHeight="1">
      <c r="A83" s="281">
        <v>2018</v>
      </c>
      <c r="B83" s="35">
        <v>115</v>
      </c>
      <c r="C83" s="35">
        <v>83</v>
      </c>
    </row>
    <row r="84" spans="1:4" ht="21.75" customHeight="1">
      <c r="A84" s="281">
        <v>2019</v>
      </c>
      <c r="B84" s="35">
        <v>121</v>
      </c>
      <c r="C84" s="35">
        <v>89</v>
      </c>
    </row>
    <row r="85" spans="1:4" ht="21.75" customHeight="1">
      <c r="A85" s="281">
        <v>2020</v>
      </c>
      <c r="B85" s="35">
        <v>122</v>
      </c>
      <c r="C85" s="35">
        <v>89</v>
      </c>
    </row>
    <row r="86" spans="1:4" ht="21.75" customHeight="1">
      <c r="A86" s="281">
        <v>2021</v>
      </c>
      <c r="B86" s="35">
        <v>197</v>
      </c>
      <c r="C86" s="35">
        <v>89</v>
      </c>
    </row>
    <row r="87" spans="1:4" ht="21.75" customHeight="1">
      <c r="A87" s="281">
        <v>2022</v>
      </c>
      <c r="B87" s="35">
        <v>240</v>
      </c>
      <c r="C87" s="35">
        <v>89</v>
      </c>
    </row>
    <row r="88" spans="1:4" ht="21.75" customHeight="1">
      <c r="A88" s="446">
        <v>2023</v>
      </c>
      <c r="B88" s="447">
        <v>224</v>
      </c>
      <c r="C88" s="447">
        <v>90</v>
      </c>
    </row>
    <row r="89" spans="1:4" ht="21.75" customHeight="1">
      <c r="A89" s="96"/>
      <c r="B89" s="96"/>
      <c r="C89" s="96"/>
    </row>
    <row r="90" spans="1:4" ht="40" customHeight="1">
      <c r="A90" s="134" t="s">
        <v>1484</v>
      </c>
      <c r="B90" s="177" t="s">
        <v>1476</v>
      </c>
      <c r="C90" s="177" t="s">
        <v>1483</v>
      </c>
    </row>
    <row r="91" spans="1:4" ht="21.75" customHeight="1">
      <c r="A91" s="281">
        <v>2021</v>
      </c>
      <c r="B91" s="206">
        <v>2.7</v>
      </c>
      <c r="C91" s="206">
        <v>0.26</v>
      </c>
    </row>
    <row r="92" spans="1:4" ht="21.75" customHeight="1">
      <c r="A92" s="281">
        <v>2022</v>
      </c>
      <c r="B92" s="206">
        <v>2.42</v>
      </c>
      <c r="C92" s="206">
        <v>0.22</v>
      </c>
    </row>
    <row r="93" spans="1:4" ht="21.75" customHeight="1">
      <c r="A93" s="446">
        <v>2023</v>
      </c>
      <c r="B93" s="417">
        <v>2.5499999999999998</v>
      </c>
      <c r="C93" s="417">
        <v>0.21</v>
      </c>
    </row>
    <row r="94" spans="1:4" ht="21.75" customHeight="1">
      <c r="A94" s="96" t="s">
        <v>1485</v>
      </c>
      <c r="B94" s="96"/>
      <c r="C94" s="96"/>
    </row>
    <row r="95" spans="1:4" ht="21.75" customHeight="1"/>
    <row r="96" spans="1:4" ht="21.75" customHeight="1">
      <c r="A96" s="134" t="s">
        <v>1486</v>
      </c>
    </row>
    <row r="97" spans="1:5" ht="53.25" customHeight="1">
      <c r="A97" s="134" t="s">
        <v>1463</v>
      </c>
      <c r="B97" s="177" t="s">
        <v>1487</v>
      </c>
      <c r="C97" s="177" t="s">
        <v>1488</v>
      </c>
      <c r="D97" s="177" t="s">
        <v>1489</v>
      </c>
    </row>
    <row r="98" spans="1:5" ht="21.75" customHeight="1">
      <c r="A98" s="21" t="s">
        <v>589</v>
      </c>
      <c r="B98" s="136">
        <v>1611</v>
      </c>
      <c r="C98" s="35">
        <v>190</v>
      </c>
      <c r="D98" s="35">
        <f>C98*100/B98</f>
        <v>11.793916821849782</v>
      </c>
    </row>
    <row r="99" spans="1:5" ht="21.75" customHeight="1">
      <c r="A99" s="21" t="s">
        <v>590</v>
      </c>
      <c r="B99" s="136">
        <v>790</v>
      </c>
      <c r="C99" s="35">
        <v>104</v>
      </c>
      <c r="D99" s="35">
        <f>C99*100/B99</f>
        <v>13.164556962025317</v>
      </c>
    </row>
    <row r="100" spans="1:5" ht="21.75" customHeight="1">
      <c r="A100" s="21" t="s">
        <v>593</v>
      </c>
      <c r="B100" s="136">
        <v>2257</v>
      </c>
      <c r="C100" s="35">
        <v>102</v>
      </c>
      <c r="D100" s="35">
        <f>C100*100/B100</f>
        <v>4.5192733717323881</v>
      </c>
    </row>
    <row r="101" spans="1:5" ht="21.75" customHeight="1">
      <c r="A101" s="21" t="s">
        <v>594</v>
      </c>
      <c r="B101" s="136">
        <v>1638</v>
      </c>
      <c r="C101" s="24" t="s">
        <v>1490</v>
      </c>
      <c r="D101" s="24" t="s">
        <v>1491</v>
      </c>
    </row>
    <row r="102" spans="1:5" ht="21.75" customHeight="1">
      <c r="A102" s="402" t="s">
        <v>672</v>
      </c>
      <c r="B102" s="445">
        <f>SUM(B97:B101)</f>
        <v>6296</v>
      </c>
      <c r="C102" s="447">
        <f>SUM(C97:C101)</f>
        <v>396</v>
      </c>
      <c r="D102" s="447">
        <v>6</v>
      </c>
      <c r="E102" s="21"/>
    </row>
    <row r="103" spans="1:5" ht="21.75" customHeight="1">
      <c r="A103" s="96" t="s">
        <v>1492</v>
      </c>
      <c r="B103" s="448"/>
      <c r="C103" s="345"/>
      <c r="D103" s="345"/>
    </row>
  </sheetData>
  <sheetProtection algorithmName="SHA-512" hashValue="9FMt6Jci7W6GwBtKhXjZR1Bpsl0PWVKrXRSNEt7edRNLKiRIx41tpMMGCjQZAG0jafsaXvxUpyrBA+pqAeEUkg==" saltValue="4ReqfKg3AWrgZhfETKiqNQ==" spinCount="100000" sheet="1" objects="1" scenarios="1"/>
  <mergeCells count="6">
    <mergeCell ref="A60:B60"/>
    <mergeCell ref="A11:G11"/>
    <mergeCell ref="A10:G10"/>
    <mergeCell ref="A13:G13"/>
    <mergeCell ref="D45:E45"/>
    <mergeCell ref="B45:C45"/>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50"/>
  <sheetViews>
    <sheetView showGridLines="0" showRuler="0" workbookViewId="0"/>
  </sheetViews>
  <sheetFormatPr baseColWidth="10" defaultColWidth="12.83203125" defaultRowHeight="13"/>
  <cols>
    <col min="1" max="1" width="49.5" customWidth="1"/>
    <col min="2" max="2" width="14" customWidth="1"/>
    <col min="3" max="3" width="11.83203125" customWidth="1"/>
    <col min="4" max="4" width="13.33203125" customWidth="1"/>
    <col min="5" max="5" width="12" customWidth="1"/>
    <col min="6" max="6" width="12.6640625" customWidth="1"/>
    <col min="7" max="7" width="14.33203125" customWidth="1"/>
  </cols>
  <sheetData>
    <row r="1" spans="1:6" ht="21.75" customHeight="1">
      <c r="A1" s="134" t="s">
        <v>1493</v>
      </c>
      <c r="B1" s="365"/>
      <c r="C1" s="365"/>
      <c r="D1" s="365"/>
      <c r="E1" s="365"/>
      <c r="F1" s="365"/>
    </row>
    <row r="2" spans="1:6" ht="21.75" customHeight="1">
      <c r="A2" s="258" t="s">
        <v>1494</v>
      </c>
      <c r="B2" s="67">
        <v>2023</v>
      </c>
      <c r="C2" s="67">
        <v>2022</v>
      </c>
      <c r="D2" s="67">
        <v>2021</v>
      </c>
      <c r="E2" s="67">
        <v>2020</v>
      </c>
      <c r="F2" s="67">
        <v>2019</v>
      </c>
    </row>
    <row r="3" spans="1:6" ht="21.75" customHeight="1">
      <c r="A3" s="45" t="s">
        <v>672</v>
      </c>
      <c r="B3" s="28"/>
      <c r="C3" s="28"/>
      <c r="D3" s="28"/>
      <c r="E3" s="28"/>
      <c r="F3" s="28"/>
    </row>
    <row r="4" spans="1:6" ht="21.75" customHeight="1">
      <c r="A4" s="19" t="s">
        <v>1495</v>
      </c>
      <c r="B4" s="449">
        <v>1087</v>
      </c>
      <c r="C4" s="450">
        <v>913</v>
      </c>
      <c r="D4" s="450">
        <v>872</v>
      </c>
      <c r="E4" s="69">
        <v>677</v>
      </c>
      <c r="F4" s="69">
        <v>782</v>
      </c>
    </row>
    <row r="5" spans="1:6" ht="21.75" customHeight="1">
      <c r="A5" s="25" t="s">
        <v>1496</v>
      </c>
      <c r="B5" s="36">
        <v>33</v>
      </c>
      <c r="C5" s="36">
        <v>27</v>
      </c>
      <c r="D5" s="36">
        <v>28</v>
      </c>
      <c r="E5" s="36">
        <v>28</v>
      </c>
      <c r="F5" s="36">
        <v>33</v>
      </c>
    </row>
    <row r="6" spans="1:6" ht="21.75" customHeight="1">
      <c r="A6" s="45" t="s">
        <v>589</v>
      </c>
      <c r="B6" s="28"/>
      <c r="C6" s="277"/>
      <c r="D6" s="28"/>
      <c r="E6" s="28"/>
      <c r="F6" s="28"/>
    </row>
    <row r="7" spans="1:6" ht="21.75" customHeight="1">
      <c r="A7" s="19" t="s">
        <v>1495</v>
      </c>
      <c r="B7" s="451">
        <v>393</v>
      </c>
      <c r="C7" s="69">
        <v>336</v>
      </c>
      <c r="D7" s="69">
        <v>312</v>
      </c>
      <c r="E7" s="69">
        <v>231</v>
      </c>
      <c r="F7" s="69">
        <v>243</v>
      </c>
    </row>
    <row r="8" spans="1:6" ht="21.75" customHeight="1">
      <c r="A8" s="25" t="s">
        <v>1496</v>
      </c>
      <c r="B8" s="36">
        <v>28</v>
      </c>
      <c r="C8" s="36">
        <v>24</v>
      </c>
      <c r="D8" s="36">
        <v>25</v>
      </c>
      <c r="E8" s="36">
        <v>23</v>
      </c>
      <c r="F8" s="36">
        <v>25</v>
      </c>
    </row>
    <row r="9" spans="1:6" ht="21.75" customHeight="1">
      <c r="A9" s="45" t="s">
        <v>590</v>
      </c>
      <c r="B9" s="28"/>
      <c r="C9" s="28"/>
      <c r="D9" s="28"/>
      <c r="E9" s="28"/>
      <c r="F9" s="28"/>
    </row>
    <row r="10" spans="1:6" ht="21.75" customHeight="1">
      <c r="A10" s="19" t="s">
        <v>1495</v>
      </c>
      <c r="B10" s="451">
        <v>124</v>
      </c>
      <c r="C10" s="69">
        <v>127</v>
      </c>
      <c r="D10" s="69">
        <v>118</v>
      </c>
      <c r="E10" s="69">
        <v>86</v>
      </c>
      <c r="F10" s="69">
        <v>84</v>
      </c>
    </row>
    <row r="11" spans="1:6" ht="21.75" customHeight="1">
      <c r="A11" s="25" t="s">
        <v>1496</v>
      </c>
      <c r="B11" s="36">
        <v>30</v>
      </c>
      <c r="C11" s="36">
        <v>28</v>
      </c>
      <c r="D11" s="36">
        <v>29</v>
      </c>
      <c r="E11" s="36">
        <v>30</v>
      </c>
      <c r="F11" s="36">
        <v>29</v>
      </c>
    </row>
    <row r="12" spans="1:6" ht="21.75" customHeight="1">
      <c r="A12" s="45" t="s">
        <v>593</v>
      </c>
      <c r="B12" s="28"/>
      <c r="C12" s="28"/>
      <c r="D12" s="28"/>
      <c r="E12" s="28"/>
      <c r="F12" s="28"/>
    </row>
    <row r="13" spans="1:6" ht="21.75" customHeight="1">
      <c r="A13" s="19" t="s">
        <v>1495</v>
      </c>
      <c r="B13" s="451">
        <v>530</v>
      </c>
      <c r="C13" s="69">
        <v>410</v>
      </c>
      <c r="D13" s="69">
        <v>401</v>
      </c>
      <c r="E13" s="69">
        <v>328</v>
      </c>
      <c r="F13" s="69">
        <v>415</v>
      </c>
    </row>
    <row r="14" spans="1:6" ht="21.75" customHeight="1">
      <c r="A14" s="25" t="s">
        <v>1496</v>
      </c>
      <c r="B14" s="36">
        <v>49</v>
      </c>
      <c r="C14" s="36">
        <v>36</v>
      </c>
      <c r="D14" s="36">
        <v>36</v>
      </c>
      <c r="E14" s="36">
        <v>37</v>
      </c>
      <c r="F14" s="36">
        <v>51</v>
      </c>
    </row>
    <row r="15" spans="1:6" ht="21.75" customHeight="1">
      <c r="A15" s="45" t="s">
        <v>594</v>
      </c>
      <c r="B15" s="28"/>
      <c r="C15" s="277"/>
      <c r="D15" s="28"/>
      <c r="E15" s="28"/>
      <c r="F15" s="28"/>
    </row>
    <row r="16" spans="1:6" ht="21.75" customHeight="1">
      <c r="A16" s="19" t="s">
        <v>1495</v>
      </c>
      <c r="B16" s="451">
        <v>41</v>
      </c>
      <c r="C16" s="69">
        <v>40</v>
      </c>
      <c r="D16" s="69">
        <v>41</v>
      </c>
      <c r="E16" s="69">
        <v>31</v>
      </c>
      <c r="F16" s="69">
        <v>40</v>
      </c>
    </row>
    <row r="17" spans="1:6" ht="21.75" customHeight="1">
      <c r="A17" s="73" t="s">
        <v>1496</v>
      </c>
      <c r="B17" s="74">
        <v>12</v>
      </c>
      <c r="C17" s="74">
        <v>12</v>
      </c>
      <c r="D17" s="74">
        <v>13</v>
      </c>
      <c r="E17" s="74">
        <v>12</v>
      </c>
      <c r="F17" s="74">
        <v>13</v>
      </c>
    </row>
    <row r="18" spans="1:6" ht="15" customHeight="1">
      <c r="A18" s="346"/>
      <c r="B18" s="346"/>
      <c r="C18" s="346"/>
      <c r="D18" s="346"/>
      <c r="E18" s="346"/>
      <c r="F18" s="346"/>
    </row>
    <row r="19" spans="1:6" ht="15" customHeight="1"/>
    <row r="20" spans="1:6" ht="15" customHeight="1"/>
    <row r="21" spans="1:6" ht="15" customHeight="1"/>
    <row r="22" spans="1:6" ht="15" customHeight="1"/>
    <row r="23" spans="1:6" ht="15" customHeight="1"/>
    <row r="24" spans="1:6" ht="15" customHeight="1"/>
    <row r="25" spans="1:6" ht="15" customHeight="1"/>
    <row r="26" spans="1:6" ht="15" customHeight="1"/>
    <row r="27" spans="1:6" ht="15" customHeight="1"/>
    <row r="28" spans="1:6" ht="15" customHeight="1"/>
    <row r="29" spans="1:6" ht="15" customHeight="1"/>
    <row r="30" spans="1:6" ht="15" customHeight="1"/>
    <row r="31" spans="1:6" ht="15" customHeight="1"/>
    <row r="32" spans="1: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sheetProtection algorithmName="SHA-512" hashValue="YR9Wo38GVdb4SsCPQe8XvXfzxton4NU/Q6KV1m+ejHn37nth3jjyc1I2WBUhTdrT8BpRfa0FqGYB11s2Kr6wNg==" saltValue="sQteCoxiMemlSioomib7BQ==" spinCount="100000" sheet="1" objects="1" scenarios="1"/>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2"/>
  <sheetViews>
    <sheetView showGridLines="0" showRuler="0" workbookViewId="0">
      <selection activeCell="C6" sqref="C6"/>
    </sheetView>
  </sheetViews>
  <sheetFormatPr baseColWidth="10" defaultColWidth="12.83203125" defaultRowHeight="13"/>
  <cols>
    <col min="1" max="1" width="10.33203125" customWidth="1"/>
    <col min="2" max="2" width="30" customWidth="1"/>
    <col min="3" max="3" width="54" customWidth="1"/>
    <col min="4" max="4" width="26.6640625" customWidth="1"/>
    <col min="5" max="5" width="31" customWidth="1"/>
    <col min="6" max="6" width="28.6640625" customWidth="1"/>
    <col min="7" max="7" width="9.33203125" customWidth="1"/>
  </cols>
  <sheetData>
    <row r="1" spans="1:7" ht="27.5" customHeight="1">
      <c r="A1" s="737" t="s">
        <v>536</v>
      </c>
      <c r="B1" s="685"/>
      <c r="C1" s="685"/>
      <c r="D1" s="685"/>
      <c r="E1" s="685"/>
      <c r="F1" s="685"/>
    </row>
    <row r="2" spans="1:7" ht="13.25" customHeight="1"/>
    <row r="3" spans="1:7" ht="26.75" customHeight="1">
      <c r="A3" s="7" t="s">
        <v>537</v>
      </c>
      <c r="B3" s="7"/>
      <c r="C3" s="7" t="s">
        <v>538</v>
      </c>
      <c r="D3" s="7" t="s">
        <v>539</v>
      </c>
      <c r="E3" s="7" t="s">
        <v>540</v>
      </c>
      <c r="F3" s="7" t="s">
        <v>541</v>
      </c>
    </row>
    <row r="4" spans="1:7" ht="244.25" customHeight="1">
      <c r="A4" s="8" t="s">
        <v>542</v>
      </c>
      <c r="B4" s="8" t="s">
        <v>543</v>
      </c>
      <c r="C4" s="8" t="s">
        <v>544</v>
      </c>
      <c r="E4" s="8" t="s">
        <v>545</v>
      </c>
      <c r="F4" s="9" t="s">
        <v>546</v>
      </c>
      <c r="G4" s="13"/>
    </row>
    <row r="5" spans="1:7" ht="144.25" customHeight="1">
      <c r="A5" s="10" t="s">
        <v>547</v>
      </c>
      <c r="B5" s="10" t="s">
        <v>548</v>
      </c>
      <c r="C5" s="10" t="s">
        <v>549</v>
      </c>
      <c r="D5" s="10" t="s">
        <v>550</v>
      </c>
      <c r="E5" s="10" t="s">
        <v>551</v>
      </c>
      <c r="F5" s="11" t="s">
        <v>552</v>
      </c>
      <c r="G5" s="13"/>
    </row>
    <row r="6" spans="1:7" ht="74.25" customHeight="1">
      <c r="A6" s="10" t="s">
        <v>553</v>
      </c>
      <c r="B6" s="10" t="s">
        <v>554</v>
      </c>
      <c r="C6" s="10" t="s">
        <v>555</v>
      </c>
      <c r="D6" s="10" t="s">
        <v>556</v>
      </c>
      <c r="E6" s="10" t="s">
        <v>557</v>
      </c>
      <c r="F6" s="11" t="s">
        <v>558</v>
      </c>
      <c r="G6" s="13"/>
    </row>
    <row r="7" spans="1:7" ht="164.25" customHeight="1">
      <c r="A7" s="10" t="s">
        <v>559</v>
      </c>
      <c r="B7" s="10" t="s">
        <v>560</v>
      </c>
      <c r="C7" s="10" t="s">
        <v>561</v>
      </c>
      <c r="D7" s="10" t="s">
        <v>562</v>
      </c>
      <c r="E7" s="12" t="s">
        <v>563</v>
      </c>
      <c r="F7" s="11"/>
      <c r="G7" s="13"/>
    </row>
    <row r="8" spans="1:7" ht="194.25" customHeight="1">
      <c r="A8" s="10" t="s">
        <v>564</v>
      </c>
      <c r="B8" s="10" t="s">
        <v>565</v>
      </c>
      <c r="C8" s="10" t="s">
        <v>566</v>
      </c>
      <c r="D8" s="10" t="s">
        <v>567</v>
      </c>
      <c r="E8" s="12" t="s">
        <v>568</v>
      </c>
      <c r="F8" s="11" t="s">
        <v>558</v>
      </c>
      <c r="G8" s="13"/>
    </row>
    <row r="9" spans="1:7" ht="84.25" customHeight="1">
      <c r="A9" s="10" t="s">
        <v>569</v>
      </c>
      <c r="B9" s="10" t="s">
        <v>570</v>
      </c>
      <c r="C9" s="10" t="s">
        <v>571</v>
      </c>
      <c r="D9" s="10" t="s">
        <v>572</v>
      </c>
      <c r="E9" s="12" t="s">
        <v>573</v>
      </c>
      <c r="F9" s="14"/>
      <c r="G9" s="13"/>
    </row>
    <row r="10" spans="1:7" ht="184.25" customHeight="1">
      <c r="A10" s="10" t="s">
        <v>574</v>
      </c>
      <c r="B10" s="10" t="s">
        <v>575</v>
      </c>
      <c r="C10" s="10" t="s">
        <v>576</v>
      </c>
      <c r="D10" s="10" t="s">
        <v>577</v>
      </c>
      <c r="E10" s="12" t="s">
        <v>578</v>
      </c>
      <c r="F10" s="14"/>
      <c r="G10" s="13"/>
    </row>
    <row r="11" spans="1:7" ht="204.25" customHeight="1">
      <c r="A11" s="10" t="s">
        <v>579</v>
      </c>
      <c r="B11" s="10" t="s">
        <v>580</v>
      </c>
      <c r="C11" s="10" t="s">
        <v>581</v>
      </c>
      <c r="D11" s="10" t="s">
        <v>577</v>
      </c>
      <c r="E11" s="12" t="s">
        <v>578</v>
      </c>
      <c r="F11" s="14"/>
      <c r="G11" s="13"/>
    </row>
    <row r="12" spans="1:7" ht="15" customHeight="1">
      <c r="A12" s="15"/>
      <c r="B12" s="15"/>
      <c r="C12" s="15"/>
      <c r="D12" s="15"/>
      <c r="E12" s="15"/>
      <c r="F12" s="15"/>
    </row>
  </sheetData>
  <sheetProtection algorithmName="SHA-512" hashValue="X7S/XbV2UjAk86N2qsuTVlIaWrH9ZL2oDclAuXlf98syEgGFMNHsEUxJMC4J8EqUu95fegbmAB0N3pRS9aiMpA==" saltValue="7DSF0BH2cWljTfcXBb5XiQ==" spinCount="100000" sheet="1" objects="1" scenarios="1"/>
  <mergeCells count="1">
    <mergeCell ref="A1:F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56"/>
  <sheetViews>
    <sheetView showGridLines="0" showRuler="0" topLeftCell="A7" workbookViewId="0">
      <selection activeCell="G9" sqref="G9"/>
    </sheetView>
  </sheetViews>
  <sheetFormatPr baseColWidth="10" defaultColWidth="12.83203125" defaultRowHeight="13"/>
  <cols>
    <col min="1" max="1" width="55.1640625" customWidth="1"/>
    <col min="2" max="2" width="15" customWidth="1"/>
    <col min="3" max="3" width="12.83203125" customWidth="1"/>
    <col min="4" max="4" width="13.1640625" customWidth="1"/>
    <col min="5" max="8" width="14.33203125" customWidth="1"/>
  </cols>
  <sheetData>
    <row r="1" spans="1:7" ht="21.75" customHeight="1">
      <c r="A1" s="134" t="s">
        <v>1497</v>
      </c>
      <c r="B1" s="135">
        <v>2023</v>
      </c>
      <c r="C1" s="135">
        <v>2022</v>
      </c>
      <c r="D1" s="135">
        <v>2021</v>
      </c>
      <c r="E1" s="135">
        <v>2020</v>
      </c>
      <c r="F1" s="135">
        <v>2019</v>
      </c>
      <c r="G1" s="135">
        <v>2018</v>
      </c>
    </row>
    <row r="2" spans="1:7" ht="21.75" customHeight="1">
      <c r="A2" s="21" t="s">
        <v>589</v>
      </c>
      <c r="B2" s="242">
        <v>1.07</v>
      </c>
      <c r="C2" s="116">
        <v>0.99</v>
      </c>
      <c r="D2" s="452">
        <v>0.9</v>
      </c>
      <c r="E2" s="452">
        <v>1.04</v>
      </c>
      <c r="F2" s="453">
        <v>1.19</v>
      </c>
      <c r="G2" s="453">
        <v>0.48</v>
      </c>
    </row>
    <row r="3" spans="1:7" ht="21.75" customHeight="1">
      <c r="A3" s="21" t="s">
        <v>590</v>
      </c>
      <c r="B3" s="242">
        <v>3.72</v>
      </c>
      <c r="C3" s="116">
        <v>5.83</v>
      </c>
      <c r="D3" s="452">
        <v>1.97</v>
      </c>
      <c r="E3" s="452">
        <v>2.5299999999999998</v>
      </c>
      <c r="F3" s="453">
        <v>2.88</v>
      </c>
      <c r="G3" s="453">
        <v>3.49</v>
      </c>
    </row>
    <row r="4" spans="1:7" ht="21.75" customHeight="1">
      <c r="A4" s="21" t="s">
        <v>593</v>
      </c>
      <c r="B4" s="242">
        <v>5.58</v>
      </c>
      <c r="C4" s="116">
        <v>8.49</v>
      </c>
      <c r="D4" s="452">
        <v>8.85</v>
      </c>
      <c r="E4" s="452">
        <v>10</v>
      </c>
      <c r="F4" s="453">
        <v>12.96</v>
      </c>
      <c r="G4" s="453">
        <v>15.31</v>
      </c>
    </row>
    <row r="5" spans="1:7" ht="21.75" customHeight="1">
      <c r="A5" s="21" t="s">
        <v>594</v>
      </c>
      <c r="B5" s="242">
        <v>6.81</v>
      </c>
      <c r="C5" s="116">
        <v>5.86</v>
      </c>
      <c r="D5" s="452">
        <v>4.5599999999999996</v>
      </c>
      <c r="E5" s="452">
        <v>3.18</v>
      </c>
      <c r="F5" s="453">
        <v>4.3099999999999996</v>
      </c>
      <c r="G5" s="453">
        <v>6.03</v>
      </c>
    </row>
    <row r="6" spans="1:7" ht="21.75" customHeight="1">
      <c r="A6" s="155" t="s">
        <v>1498</v>
      </c>
      <c r="B6" s="235">
        <f>SUM(B2:B5)</f>
        <v>17.18</v>
      </c>
      <c r="C6" s="236">
        <f>SUM(C2:C5)</f>
        <v>21.17</v>
      </c>
      <c r="D6" s="454">
        <v>16.27</v>
      </c>
      <c r="E6" s="454">
        <v>16.760000000000002</v>
      </c>
      <c r="F6" s="455">
        <v>21.35</v>
      </c>
      <c r="G6" s="455">
        <v>25.31</v>
      </c>
    </row>
    <row r="7" spans="1:7" ht="21.75" customHeight="1">
      <c r="A7" s="30"/>
      <c r="B7" s="414"/>
      <c r="C7" s="414"/>
      <c r="D7" s="414"/>
      <c r="E7" s="414"/>
      <c r="F7" s="414"/>
      <c r="G7" s="414"/>
    </row>
    <row r="8" spans="1:7" ht="21.75" customHeight="1"/>
    <row r="9" spans="1:7" ht="21.75" customHeight="1">
      <c r="A9" s="134" t="s">
        <v>1499</v>
      </c>
      <c r="B9" s="135">
        <v>2023</v>
      </c>
      <c r="C9" s="135">
        <v>2022</v>
      </c>
      <c r="D9" s="135">
        <v>2021</v>
      </c>
      <c r="E9" s="135">
        <v>2020</v>
      </c>
      <c r="F9" s="135">
        <v>2019</v>
      </c>
      <c r="G9" s="135">
        <v>2018</v>
      </c>
    </row>
    <row r="10" spans="1:7" ht="21.75" customHeight="1">
      <c r="A10" s="21" t="s">
        <v>1500</v>
      </c>
      <c r="B10" s="456">
        <v>0.26425262914395198</v>
      </c>
      <c r="C10" s="116">
        <v>0.53</v>
      </c>
      <c r="D10" s="206">
        <v>0.29779404999999998</v>
      </c>
      <c r="E10" s="116">
        <v>0.19</v>
      </c>
      <c r="F10" s="457">
        <v>0.28000000000000003</v>
      </c>
      <c r="G10" s="206">
        <v>0.28000000000000003</v>
      </c>
    </row>
    <row r="11" spans="1:7" ht="21.75" customHeight="1">
      <c r="A11" s="21" t="s">
        <v>1501</v>
      </c>
      <c r="B11" s="456">
        <v>7.8949009927068001</v>
      </c>
      <c r="C11" s="116">
        <v>8.58</v>
      </c>
      <c r="D11" s="206">
        <v>8.5058459559061301</v>
      </c>
      <c r="E11" s="116">
        <v>9.32</v>
      </c>
      <c r="F11" s="457">
        <v>13.3</v>
      </c>
      <c r="G11" s="206">
        <v>16.02</v>
      </c>
    </row>
    <row r="12" spans="1:7" ht="21.75" customHeight="1">
      <c r="A12" s="21" t="s">
        <v>1502</v>
      </c>
      <c r="B12" s="456">
        <v>3.4936132346944602</v>
      </c>
      <c r="C12" s="116">
        <v>3.29</v>
      </c>
      <c r="D12" s="206">
        <v>2.9600265977014599</v>
      </c>
      <c r="E12" s="116">
        <v>1.98</v>
      </c>
      <c r="F12" s="457">
        <v>3.72</v>
      </c>
      <c r="G12" s="206">
        <v>3.96</v>
      </c>
    </row>
    <row r="13" spans="1:7" ht="21.75" customHeight="1">
      <c r="A13" s="21" t="s">
        <v>1503</v>
      </c>
      <c r="B13" s="456">
        <v>0.846482486952711</v>
      </c>
      <c r="C13" s="206">
        <v>1</v>
      </c>
      <c r="D13" s="206">
        <v>1.0353567006467801</v>
      </c>
      <c r="E13" s="116">
        <v>1.38</v>
      </c>
      <c r="F13" s="457">
        <v>0.81</v>
      </c>
      <c r="G13" s="206">
        <v>0.76</v>
      </c>
    </row>
    <row r="14" spans="1:7" ht="21.75" customHeight="1">
      <c r="A14" s="21" t="s">
        <v>1504</v>
      </c>
      <c r="B14" s="456">
        <v>3.5367176135484701</v>
      </c>
      <c r="C14" s="116">
        <v>5.89</v>
      </c>
      <c r="D14" s="206">
        <v>1.4672750836722701</v>
      </c>
      <c r="E14" s="116">
        <v>1.17</v>
      </c>
      <c r="F14" s="457">
        <v>1.86</v>
      </c>
      <c r="G14" s="206">
        <v>2.29</v>
      </c>
    </row>
    <row r="15" spans="1:7" ht="21.75" customHeight="1">
      <c r="A15" s="21" t="s">
        <v>1505</v>
      </c>
      <c r="B15" s="456">
        <v>1.14642293283827</v>
      </c>
      <c r="C15" s="116">
        <v>1.93</v>
      </c>
      <c r="D15" s="206">
        <v>2.0018735490345998</v>
      </c>
      <c r="E15" s="457">
        <v>2.71</v>
      </c>
      <c r="F15" s="206">
        <v>1.38</v>
      </c>
      <c r="G15" s="206">
        <v>2</v>
      </c>
    </row>
    <row r="16" spans="1:7" ht="21.75" customHeight="1">
      <c r="A16" s="402" t="s">
        <v>609</v>
      </c>
      <c r="B16" s="417">
        <f t="shared" ref="B16:G16" si="0">SUM(B10:B15)</f>
        <v>17.182389889884664</v>
      </c>
      <c r="C16" s="458">
        <f t="shared" si="0"/>
        <v>21.22</v>
      </c>
      <c r="D16" s="458">
        <f t="shared" si="0"/>
        <v>16.268171936961238</v>
      </c>
      <c r="E16" s="458">
        <f t="shared" si="0"/>
        <v>16.75</v>
      </c>
      <c r="F16" s="458">
        <f t="shared" si="0"/>
        <v>21.349999999999998</v>
      </c>
      <c r="G16" s="458">
        <f t="shared" si="0"/>
        <v>25.310000000000002</v>
      </c>
    </row>
    <row r="17" spans="1:7" ht="21.75" customHeight="1">
      <c r="A17" s="404" t="s">
        <v>1506</v>
      </c>
      <c r="B17" s="459"/>
      <c r="C17" s="459"/>
      <c r="D17" s="459"/>
      <c r="E17" s="459"/>
      <c r="F17" s="459"/>
      <c r="G17" s="459"/>
    </row>
    <row r="18" spans="1:7" ht="21.75" customHeight="1">
      <c r="A18" s="740" t="s">
        <v>1507</v>
      </c>
      <c r="B18" s="685"/>
      <c r="C18" s="685"/>
      <c r="D18" s="685"/>
      <c r="E18" s="685"/>
      <c r="F18" s="685"/>
    </row>
    <row r="19" spans="1:7" ht="21.75" customHeight="1"/>
    <row r="20" spans="1:7" ht="21.75" customHeight="1">
      <c r="A20" s="134" t="s">
        <v>1508</v>
      </c>
      <c r="B20" s="135">
        <v>2023</v>
      </c>
      <c r="C20" s="135">
        <v>2022</v>
      </c>
      <c r="D20" s="135">
        <v>2021</v>
      </c>
      <c r="E20" s="135">
        <v>2020</v>
      </c>
      <c r="F20" s="135">
        <v>2019</v>
      </c>
      <c r="G20" s="135">
        <v>2018</v>
      </c>
    </row>
    <row r="21" spans="1:7" ht="21.75" customHeight="1">
      <c r="A21" s="21" t="s">
        <v>1500</v>
      </c>
      <c r="B21" s="456">
        <v>4.8637400000000001E-3</v>
      </c>
      <c r="C21" s="206">
        <v>0</v>
      </c>
      <c r="D21" s="206">
        <v>7.7003999999999996E-3</v>
      </c>
      <c r="E21" s="206">
        <v>1.8199500000000001E-3</v>
      </c>
      <c r="F21" s="206">
        <v>1.5243500000000001E-3</v>
      </c>
      <c r="G21" s="206">
        <v>0</v>
      </c>
    </row>
    <row r="22" spans="1:7" ht="21.75" customHeight="1">
      <c r="A22" s="21" t="s">
        <v>1501</v>
      </c>
      <c r="B22" s="456">
        <v>4.1068250000000001E-2</v>
      </c>
      <c r="C22" s="206">
        <v>0</v>
      </c>
      <c r="D22" s="206">
        <v>4.6591189999999998E-2</v>
      </c>
      <c r="E22" s="206">
        <v>0.21600813904339899</v>
      </c>
      <c r="F22" s="206">
        <v>4.837031E-2</v>
      </c>
      <c r="G22" s="206">
        <v>1.02050172605E-2</v>
      </c>
    </row>
    <row r="23" spans="1:7" ht="21.75" customHeight="1">
      <c r="A23" s="21" t="s">
        <v>1502</v>
      </c>
      <c r="B23" s="456">
        <v>0.47820081371060003</v>
      </c>
      <c r="C23" s="206">
        <v>0.26</v>
      </c>
      <c r="D23" s="206">
        <v>8.8789935905999803E-2</v>
      </c>
      <c r="E23" s="206">
        <v>8.2852286632800004E-2</v>
      </c>
      <c r="F23" s="206">
        <v>0.27215804999999998</v>
      </c>
      <c r="G23" s="206">
        <v>0.1915440594998</v>
      </c>
    </row>
    <row r="24" spans="1:7" ht="21.75" customHeight="1">
      <c r="A24" s="21" t="s">
        <v>1503</v>
      </c>
      <c r="B24" s="456">
        <v>0.4837608939793</v>
      </c>
      <c r="C24" s="206">
        <v>0.63</v>
      </c>
      <c r="D24" s="206">
        <v>0.54849478141199903</v>
      </c>
      <c r="E24" s="206">
        <v>0.55130580236890003</v>
      </c>
      <c r="F24" s="206">
        <v>0.59594493999999998</v>
      </c>
      <c r="G24" s="206">
        <v>0.21244909964729999</v>
      </c>
    </row>
    <row r="25" spans="1:7" ht="21.75" customHeight="1">
      <c r="A25" s="21" t="s">
        <v>1504</v>
      </c>
      <c r="B25" s="456">
        <v>0</v>
      </c>
      <c r="C25" s="206">
        <v>0</v>
      </c>
      <c r="D25" s="206">
        <v>4.2485527956199497E-2</v>
      </c>
      <c r="E25" s="206">
        <v>1.5395560000000001E-2</v>
      </c>
      <c r="F25" s="206">
        <v>0.17768157000000001</v>
      </c>
      <c r="G25" s="206">
        <v>1.7273718E-2</v>
      </c>
    </row>
    <row r="26" spans="1:7" ht="21.75" customHeight="1">
      <c r="A26" s="21" t="s">
        <v>1505</v>
      </c>
      <c r="B26" s="456">
        <v>6.1074300482799999E-2</v>
      </c>
      <c r="C26" s="206">
        <v>0.1</v>
      </c>
      <c r="D26" s="206">
        <v>0.1612285770346</v>
      </c>
      <c r="E26" s="206">
        <v>0.17375181339609999</v>
      </c>
      <c r="F26" s="206">
        <v>9.4028860000000006E-2</v>
      </c>
      <c r="G26" s="206">
        <v>4.8556396028799999E-2</v>
      </c>
    </row>
    <row r="27" spans="1:7" ht="21.75" customHeight="1">
      <c r="A27" s="402" t="s">
        <v>609</v>
      </c>
      <c r="B27" s="417">
        <f t="shared" ref="B27:G27" si="1">SUM(B21:B26)</f>
        <v>1.0689679981727001</v>
      </c>
      <c r="C27" s="458">
        <f t="shared" si="1"/>
        <v>0.99</v>
      </c>
      <c r="D27" s="458">
        <f t="shared" si="1"/>
        <v>0.89529041230879836</v>
      </c>
      <c r="E27" s="458">
        <f t="shared" si="1"/>
        <v>1.041133551441199</v>
      </c>
      <c r="F27" s="458">
        <f t="shared" si="1"/>
        <v>1.1897080800000002</v>
      </c>
      <c r="G27" s="458">
        <f t="shared" si="1"/>
        <v>0.4800282904364</v>
      </c>
    </row>
    <row r="28" spans="1:7" ht="21.75" customHeight="1">
      <c r="A28" s="404" t="s">
        <v>1509</v>
      </c>
      <c r="B28" s="459"/>
      <c r="C28" s="459"/>
      <c r="D28" s="459"/>
      <c r="E28" s="459"/>
      <c r="F28" s="459"/>
      <c r="G28" s="459"/>
    </row>
    <row r="29" spans="1:7" ht="21.75" customHeight="1"/>
    <row r="30" spans="1:7" ht="21.75" customHeight="1">
      <c r="A30" s="134" t="s">
        <v>1510</v>
      </c>
      <c r="B30" s="135">
        <v>2023</v>
      </c>
      <c r="C30" s="135">
        <v>2022</v>
      </c>
      <c r="D30" s="135">
        <v>2021</v>
      </c>
      <c r="E30" s="135">
        <v>2020</v>
      </c>
      <c r="F30" s="135">
        <v>2019</v>
      </c>
      <c r="G30" s="135">
        <v>2018</v>
      </c>
    </row>
    <row r="31" spans="1:7" ht="21.75" customHeight="1">
      <c r="A31" s="21" t="s">
        <v>1500</v>
      </c>
      <c r="B31" s="456">
        <v>2.2449491802002002E-2</v>
      </c>
      <c r="C31" s="206">
        <v>0</v>
      </c>
      <c r="D31" s="206">
        <v>0</v>
      </c>
      <c r="E31" s="206">
        <v>6.3567416000002E-2</v>
      </c>
      <c r="F31" s="206">
        <v>7.6927800000000005E-2</v>
      </c>
      <c r="G31" s="206">
        <v>5.5555662156214998E-2</v>
      </c>
    </row>
    <row r="32" spans="1:7" ht="21.75" customHeight="1">
      <c r="A32" s="21" t="s">
        <v>1501</v>
      </c>
      <c r="B32" s="456">
        <v>0.299814785162488</v>
      </c>
      <c r="C32" s="206">
        <v>0.4</v>
      </c>
      <c r="D32" s="206">
        <v>0.37824207590613601</v>
      </c>
      <c r="E32" s="206">
        <v>0.12994752666999301</v>
      </c>
      <c r="F32" s="206">
        <v>0.15669548</v>
      </c>
      <c r="G32" s="206">
        <v>0.12919818608660899</v>
      </c>
    </row>
    <row r="33" spans="1:7" ht="21.75" customHeight="1">
      <c r="A33" s="21" t="s">
        <v>1502</v>
      </c>
      <c r="B33" s="456">
        <v>1.0384744391879499</v>
      </c>
      <c r="C33" s="206">
        <v>1.02</v>
      </c>
      <c r="D33" s="206">
        <v>1.29633799179547</v>
      </c>
      <c r="E33" s="206">
        <v>1.31646253789382</v>
      </c>
      <c r="F33" s="206">
        <v>2.2159166899999998</v>
      </c>
      <c r="G33" s="206">
        <v>2.5823146976431102</v>
      </c>
    </row>
    <row r="34" spans="1:7" ht="21.75" customHeight="1">
      <c r="A34" s="21" t="s">
        <v>1503</v>
      </c>
      <c r="B34" s="456">
        <v>7.3761702609999999E-3</v>
      </c>
      <c r="C34" s="206">
        <v>0</v>
      </c>
      <c r="D34" s="206">
        <v>7.4342599234783993E-2</v>
      </c>
      <c r="E34" s="206">
        <v>8.1842497193496996E-2</v>
      </c>
      <c r="F34" s="206">
        <v>9.0299039999999997E-2</v>
      </c>
      <c r="G34" s="206">
        <v>4.7044794311008997E-2</v>
      </c>
    </row>
    <row r="35" spans="1:7" ht="21.75" customHeight="1">
      <c r="A35" s="21" t="s">
        <v>1504</v>
      </c>
      <c r="B35" s="456">
        <v>2.2984096289104801</v>
      </c>
      <c r="C35" s="206">
        <v>4.41</v>
      </c>
      <c r="D35" s="206">
        <v>0.20585060571607</v>
      </c>
      <c r="E35" s="206">
        <v>9.3037208332101995E-2</v>
      </c>
      <c r="F35" s="206">
        <v>0.23307506</v>
      </c>
      <c r="G35" s="206">
        <v>0.57486766483662699</v>
      </c>
    </row>
    <row r="36" spans="1:7" ht="21.75" customHeight="1">
      <c r="A36" s="21" t="s">
        <v>1505</v>
      </c>
      <c r="B36" s="456">
        <v>5.7253321738101E-2</v>
      </c>
      <c r="C36" s="206">
        <v>0</v>
      </c>
      <c r="D36" s="206">
        <v>1.2888611999996E-2</v>
      </c>
      <c r="E36" s="206">
        <v>0.85011401750002802</v>
      </c>
      <c r="F36" s="206">
        <v>0.10682419999999999</v>
      </c>
      <c r="G36" s="206">
        <v>0.10229833802761</v>
      </c>
    </row>
    <row r="37" spans="1:7" ht="21.75" customHeight="1">
      <c r="A37" s="402" t="s">
        <v>609</v>
      </c>
      <c r="B37" s="417">
        <f t="shared" ref="B37:G37" si="2">SUM(B31:B36)</f>
        <v>3.7237778370620211</v>
      </c>
      <c r="C37" s="458">
        <f t="shared" si="2"/>
        <v>5.83</v>
      </c>
      <c r="D37" s="458">
        <f t="shared" si="2"/>
        <v>1.9676618846524561</v>
      </c>
      <c r="E37" s="458">
        <f t="shared" si="2"/>
        <v>2.5349712035894423</v>
      </c>
      <c r="F37" s="458">
        <f t="shared" si="2"/>
        <v>2.8797382700000003</v>
      </c>
      <c r="G37" s="458">
        <f t="shared" si="2"/>
        <v>3.4912793430611804</v>
      </c>
    </row>
    <row r="38" spans="1:7" ht="21.75" customHeight="1">
      <c r="A38" s="96"/>
      <c r="B38" s="95"/>
      <c r="C38" s="95"/>
      <c r="D38" s="95"/>
      <c r="E38" s="95"/>
      <c r="F38" s="95"/>
      <c r="G38" s="95"/>
    </row>
    <row r="39" spans="1:7" ht="21.75" customHeight="1">
      <c r="A39" s="134" t="s">
        <v>1511</v>
      </c>
      <c r="B39" s="135">
        <v>2023</v>
      </c>
      <c r="C39" s="135">
        <v>2022</v>
      </c>
      <c r="D39" s="135">
        <v>2021</v>
      </c>
      <c r="E39" s="135">
        <v>2020</v>
      </c>
      <c r="F39" s="135">
        <v>2019</v>
      </c>
      <c r="G39" s="135">
        <v>2018</v>
      </c>
    </row>
    <row r="40" spans="1:7" ht="21.75" customHeight="1">
      <c r="A40" s="21" t="s">
        <v>1500</v>
      </c>
      <c r="B40" s="456">
        <v>3.8262717341949901E-2</v>
      </c>
      <c r="C40" s="116">
        <v>0.33</v>
      </c>
      <c r="D40" s="206">
        <v>0.13477848000000001</v>
      </c>
      <c r="E40" s="206">
        <v>2.51075E-3</v>
      </c>
      <c r="F40" s="206">
        <v>5.7355100000000001E-3</v>
      </c>
      <c r="G40" s="206">
        <v>3.07406E-3</v>
      </c>
    </row>
    <row r="41" spans="1:7" ht="21.75" customHeight="1">
      <c r="A41" s="21" t="s">
        <v>1501</v>
      </c>
      <c r="B41" s="456">
        <v>3.3463904375443101</v>
      </c>
      <c r="C41" s="116">
        <v>5.66</v>
      </c>
      <c r="D41" s="206">
        <v>6.1826046500000098</v>
      </c>
      <c r="E41" s="206">
        <v>8.2818795499999993</v>
      </c>
      <c r="F41" s="206">
        <v>11.374393899999999</v>
      </c>
      <c r="G41" s="206">
        <v>13.842921970000001</v>
      </c>
    </row>
    <row r="42" spans="1:7" ht="21.75" customHeight="1">
      <c r="A42" s="21" t="s">
        <v>1502</v>
      </c>
      <c r="B42" s="456">
        <v>1.2222664217959101</v>
      </c>
      <c r="C42" s="116">
        <v>1.45</v>
      </c>
      <c r="D42" s="206">
        <v>1.43420053</v>
      </c>
      <c r="E42" s="206">
        <v>0.37192984000000001</v>
      </c>
      <c r="F42" s="206">
        <v>0.61195136000000006</v>
      </c>
      <c r="G42" s="206">
        <v>0.50450074</v>
      </c>
    </row>
    <row r="43" spans="1:7" ht="21.75" customHeight="1">
      <c r="A43" s="21" t="s">
        <v>1503</v>
      </c>
      <c r="B43" s="456">
        <v>7.6277372712411404E-2</v>
      </c>
      <c r="C43" s="116">
        <v>0.24</v>
      </c>
      <c r="D43" s="206">
        <v>0.23417821999999999</v>
      </c>
      <c r="E43" s="206">
        <v>0.64401039999999998</v>
      </c>
      <c r="F43" s="206">
        <v>6.3656879999999999E-2</v>
      </c>
      <c r="G43" s="206">
        <v>4.1333769999999999E-2</v>
      </c>
    </row>
    <row r="44" spans="1:7" ht="21.75" customHeight="1">
      <c r="A44" s="21" t="s">
        <v>1504</v>
      </c>
      <c r="B44" s="456">
        <v>0.61681621463798897</v>
      </c>
      <c r="C44" s="116">
        <v>0.7</v>
      </c>
      <c r="D44" s="206">
        <v>0.71691109000000097</v>
      </c>
      <c r="E44" s="206">
        <v>0.64544837000000099</v>
      </c>
      <c r="F44" s="206">
        <v>0.86246657999999998</v>
      </c>
      <c r="G44" s="206">
        <v>0.89661542000000005</v>
      </c>
    </row>
    <row r="45" spans="1:7" ht="21.75" customHeight="1">
      <c r="A45" s="21" t="s">
        <v>1505</v>
      </c>
      <c r="B45" s="456">
        <v>0.27514131061737401</v>
      </c>
      <c r="C45" s="116">
        <v>0.11</v>
      </c>
      <c r="D45" s="206">
        <v>0.14679324999999999</v>
      </c>
      <c r="E45" s="206">
        <v>5.2866700000000003E-2</v>
      </c>
      <c r="F45" s="206">
        <v>4.6225830000000002E-2</v>
      </c>
      <c r="G45" s="206">
        <v>2.6537680000000001E-2</v>
      </c>
    </row>
    <row r="46" spans="1:7" ht="21.75" customHeight="1">
      <c r="A46" s="402" t="s">
        <v>609</v>
      </c>
      <c r="B46" s="417">
        <f t="shared" ref="B46:G46" si="3">SUM(B40:B45)</f>
        <v>5.5751544746499446</v>
      </c>
      <c r="C46" s="458">
        <f t="shared" si="3"/>
        <v>8.49</v>
      </c>
      <c r="D46" s="458">
        <f t="shared" si="3"/>
        <v>8.8494662200000107</v>
      </c>
      <c r="E46" s="458">
        <f t="shared" si="3"/>
        <v>9.9986456100000005</v>
      </c>
      <c r="F46" s="458">
        <f t="shared" si="3"/>
        <v>12.964430059999998</v>
      </c>
      <c r="G46" s="458">
        <f t="shared" si="3"/>
        <v>15.314983639999999</v>
      </c>
    </row>
    <row r="47" spans="1:7" ht="21.75" customHeight="1">
      <c r="A47" s="96"/>
      <c r="B47" s="95"/>
      <c r="C47" s="95"/>
      <c r="D47" s="95"/>
      <c r="E47" s="95"/>
      <c r="F47" s="95"/>
      <c r="G47" s="95"/>
    </row>
    <row r="48" spans="1:7" ht="21.75" customHeight="1">
      <c r="A48" s="134" t="s">
        <v>1512</v>
      </c>
      <c r="B48" s="135">
        <v>2023</v>
      </c>
      <c r="C48" s="135">
        <v>2022</v>
      </c>
      <c r="D48" s="135">
        <v>2021</v>
      </c>
      <c r="E48" s="135">
        <v>2020</v>
      </c>
      <c r="F48" s="135">
        <v>2019</v>
      </c>
      <c r="G48" s="135">
        <v>2018</v>
      </c>
    </row>
    <row r="49" spans="1:7" ht="21.75" customHeight="1">
      <c r="A49" s="21" t="s">
        <v>1500</v>
      </c>
      <c r="B49" s="456">
        <v>0.19867667999999999</v>
      </c>
      <c r="C49" s="206">
        <v>0.2</v>
      </c>
      <c r="D49" s="206">
        <v>0.15531517</v>
      </c>
      <c r="E49" s="206">
        <v>0.12599411999999999</v>
      </c>
      <c r="F49" s="206">
        <v>0.19731908000000001</v>
      </c>
      <c r="G49" s="206">
        <v>0.22307099999999999</v>
      </c>
    </row>
    <row r="50" spans="1:7" ht="21.75" customHeight="1">
      <c r="A50" s="21" t="s">
        <v>1501</v>
      </c>
      <c r="B50" s="456">
        <v>4.20762752</v>
      </c>
      <c r="C50" s="206">
        <v>2.52</v>
      </c>
      <c r="D50" s="206">
        <v>1.8984080400000001</v>
      </c>
      <c r="E50" s="206">
        <v>0.69637751999999997</v>
      </c>
      <c r="F50" s="206">
        <v>1.7229192799999999</v>
      </c>
      <c r="G50" s="206">
        <v>2.0404100000000001</v>
      </c>
    </row>
    <row r="51" spans="1:7" ht="21.75" customHeight="1">
      <c r="A51" s="21" t="s">
        <v>1502</v>
      </c>
      <c r="B51" s="456">
        <v>0.75467156000000002</v>
      </c>
      <c r="C51" s="206">
        <v>0.55000000000000004</v>
      </c>
      <c r="D51" s="206">
        <v>0.14069814</v>
      </c>
      <c r="E51" s="206">
        <v>0.21349340999999999</v>
      </c>
      <c r="F51" s="206">
        <v>0.61533393999999997</v>
      </c>
      <c r="G51" s="206">
        <v>0.67793199999999998</v>
      </c>
    </row>
    <row r="52" spans="1:7" ht="21.75" customHeight="1">
      <c r="A52" s="21" t="s">
        <v>1503</v>
      </c>
      <c r="B52" s="456">
        <v>0.27906805000000001</v>
      </c>
      <c r="C52" s="206">
        <v>0.1</v>
      </c>
      <c r="D52" s="206">
        <v>0.1783411</v>
      </c>
      <c r="E52" s="206">
        <v>9.9083459999999998E-2</v>
      </c>
      <c r="F52" s="206">
        <v>5.7935090000000002E-2</v>
      </c>
      <c r="G52" s="206">
        <v>0.45940900000000001</v>
      </c>
    </row>
    <row r="53" spans="1:7" ht="21.75" customHeight="1">
      <c r="A53" s="21" t="s">
        <v>1504</v>
      </c>
      <c r="B53" s="456">
        <v>0.62149177</v>
      </c>
      <c r="C53" s="206">
        <v>0.77</v>
      </c>
      <c r="D53" s="206">
        <v>0.50202785999999999</v>
      </c>
      <c r="E53" s="206">
        <v>0.41875680999999998</v>
      </c>
      <c r="F53" s="206">
        <v>0.58226688000000004</v>
      </c>
      <c r="G53" s="206">
        <v>0.80074699999999999</v>
      </c>
    </row>
    <row r="54" spans="1:7" ht="21.75" customHeight="1">
      <c r="A54" s="21" t="s">
        <v>1505</v>
      </c>
      <c r="B54" s="456">
        <v>0.75295400000000001</v>
      </c>
      <c r="C54" s="206">
        <v>1.72</v>
      </c>
      <c r="D54" s="206">
        <v>1.68096311</v>
      </c>
      <c r="E54" s="206">
        <v>1.6305269499999999</v>
      </c>
      <c r="F54" s="206">
        <v>1.1355270200000001</v>
      </c>
      <c r="G54" s="206">
        <v>1.8269820000000001</v>
      </c>
    </row>
    <row r="55" spans="1:7" ht="21.75" customHeight="1">
      <c r="A55" s="402" t="s">
        <v>609</v>
      </c>
      <c r="B55" s="417">
        <f t="shared" ref="B55:G55" si="4">SUM(B49:B54)</f>
        <v>6.8144895800000009</v>
      </c>
      <c r="C55" s="458">
        <f t="shared" si="4"/>
        <v>5.86</v>
      </c>
      <c r="D55" s="458">
        <f t="shared" si="4"/>
        <v>4.5557534200000003</v>
      </c>
      <c r="E55" s="458">
        <f t="shared" si="4"/>
        <v>3.1842322699999999</v>
      </c>
      <c r="F55" s="458">
        <f t="shared" si="4"/>
        <v>4.3113012900000003</v>
      </c>
      <c r="G55" s="458">
        <f t="shared" si="4"/>
        <v>6.0285510000000002</v>
      </c>
    </row>
    <row r="56" spans="1:7" ht="21.75" customHeight="1">
      <c r="A56" s="404"/>
      <c r="B56" s="459"/>
      <c r="C56" s="459"/>
      <c r="D56" s="459"/>
      <c r="E56" s="459"/>
      <c r="F56" s="459"/>
      <c r="G56" s="459"/>
    </row>
  </sheetData>
  <sheetProtection algorithmName="SHA-512" hashValue="nd+Du6+VmM9XYaj2QSU/eAc/164l3Xuu9PhNH0X9ojaV9rTcfMaAj1//+/a4uSGNXr8BXoIYuE3kDAM2gXoPKg==" saltValue="KoI45UnkJR9VbQaPuX4xAA==" spinCount="100000" sheet="1" objects="1" scenarios="1"/>
  <mergeCells count="1">
    <mergeCell ref="A18:F18"/>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50"/>
  <sheetViews>
    <sheetView showGridLines="0" showRuler="0" topLeftCell="A13" workbookViewId="0"/>
  </sheetViews>
  <sheetFormatPr baseColWidth="10" defaultColWidth="12.83203125" defaultRowHeight="13"/>
  <cols>
    <col min="1" max="1" width="76.83203125" customWidth="1"/>
    <col min="2" max="2" width="15.1640625" customWidth="1"/>
    <col min="3" max="9" width="14.1640625" customWidth="1"/>
  </cols>
  <sheetData>
    <row r="1" spans="1:9" ht="21.75" customHeight="1">
      <c r="A1" s="134" t="s">
        <v>1513</v>
      </c>
      <c r="B1" s="365"/>
      <c r="C1" s="365"/>
      <c r="D1" s="365"/>
      <c r="E1" s="365"/>
    </row>
    <row r="2" spans="1:9" ht="21.75" customHeight="1">
      <c r="A2" s="106"/>
      <c r="B2" s="106"/>
      <c r="C2" s="106"/>
      <c r="D2" s="43"/>
      <c r="E2" s="43"/>
      <c r="G2" s="43"/>
      <c r="H2" s="43"/>
      <c r="I2" s="43"/>
    </row>
    <row r="3" spans="1:9" ht="21.75" customHeight="1">
      <c r="A3" s="134" t="s">
        <v>1514</v>
      </c>
      <c r="B3" s="365"/>
      <c r="C3" s="365"/>
      <c r="D3" s="365"/>
      <c r="E3" s="365"/>
      <c r="F3" s="365"/>
    </row>
    <row r="4" spans="1:9" ht="21.75" customHeight="1">
      <c r="A4" s="134" t="s">
        <v>744</v>
      </c>
      <c r="B4" s="135">
        <v>2023</v>
      </c>
      <c r="C4" s="135">
        <v>2022</v>
      </c>
      <c r="D4" s="135">
        <v>2021</v>
      </c>
      <c r="E4" s="135">
        <v>2020</v>
      </c>
      <c r="F4" s="135">
        <v>2019</v>
      </c>
    </row>
    <row r="5" spans="1:9" ht="21.75" customHeight="1">
      <c r="A5" s="460" t="s">
        <v>689</v>
      </c>
      <c r="B5" s="35">
        <v>0</v>
      </c>
      <c r="C5" s="35">
        <v>0</v>
      </c>
      <c r="D5" s="35">
        <v>0</v>
      </c>
      <c r="E5" s="35">
        <v>0</v>
      </c>
      <c r="F5" s="35">
        <v>0</v>
      </c>
    </row>
    <row r="6" spans="1:9" ht="21.75" customHeight="1">
      <c r="A6" s="460" t="s">
        <v>676</v>
      </c>
      <c r="B6" s="35">
        <v>0</v>
      </c>
      <c r="C6" s="35">
        <v>0</v>
      </c>
      <c r="D6" s="35">
        <v>0</v>
      </c>
      <c r="E6" s="35">
        <v>0</v>
      </c>
      <c r="F6" s="35">
        <v>1</v>
      </c>
    </row>
    <row r="7" spans="1:9" ht="21.75" customHeight="1">
      <c r="A7" s="460" t="s">
        <v>690</v>
      </c>
      <c r="B7" s="35">
        <v>0</v>
      </c>
      <c r="C7" s="35">
        <v>0</v>
      </c>
      <c r="D7" s="35">
        <v>0</v>
      </c>
      <c r="E7" s="35">
        <v>0</v>
      </c>
      <c r="F7" s="35">
        <v>0</v>
      </c>
    </row>
    <row r="8" spans="1:9" ht="21.75" customHeight="1">
      <c r="A8" s="460" t="s">
        <v>678</v>
      </c>
      <c r="B8" s="35">
        <v>0</v>
      </c>
      <c r="C8" s="35">
        <v>0</v>
      </c>
      <c r="D8" s="35">
        <v>0</v>
      </c>
      <c r="E8" s="392">
        <v>0</v>
      </c>
      <c r="F8" s="35">
        <v>0</v>
      </c>
    </row>
    <row r="9" spans="1:9" ht="21.75" customHeight="1">
      <c r="A9" s="460" t="s">
        <v>604</v>
      </c>
      <c r="B9" s="35">
        <v>8</v>
      </c>
      <c r="C9" s="35">
        <v>7</v>
      </c>
      <c r="D9" s="35">
        <v>8</v>
      </c>
      <c r="E9" s="35">
        <v>5</v>
      </c>
      <c r="F9" s="35">
        <v>5</v>
      </c>
    </row>
    <row r="10" spans="1:9" ht="21.75" customHeight="1">
      <c r="A10" s="460" t="s">
        <v>680</v>
      </c>
      <c r="B10" s="35">
        <v>8</v>
      </c>
      <c r="C10" s="35">
        <v>9</v>
      </c>
      <c r="D10" s="35">
        <v>4</v>
      </c>
      <c r="E10" s="35">
        <v>7</v>
      </c>
      <c r="F10" s="35">
        <v>13</v>
      </c>
    </row>
    <row r="11" spans="1:9" ht="21.75" customHeight="1">
      <c r="A11" s="460" t="s">
        <v>691</v>
      </c>
      <c r="B11" s="35">
        <v>13</v>
      </c>
      <c r="C11" s="35">
        <v>22</v>
      </c>
      <c r="D11" s="35">
        <v>14</v>
      </c>
      <c r="E11" s="35">
        <v>13</v>
      </c>
      <c r="F11" s="35">
        <v>21</v>
      </c>
    </row>
    <row r="12" spans="1:9" ht="21.75" customHeight="1">
      <c r="A12" s="460" t="s">
        <v>746</v>
      </c>
      <c r="B12" s="35">
        <v>33</v>
      </c>
      <c r="C12" s="35">
        <v>50</v>
      </c>
      <c r="D12" s="35">
        <v>35</v>
      </c>
      <c r="E12" s="35">
        <v>105</v>
      </c>
      <c r="F12" s="35">
        <v>37</v>
      </c>
    </row>
    <row r="13" spans="1:9" ht="21.75" customHeight="1">
      <c r="A13" s="460" t="s">
        <v>1236</v>
      </c>
      <c r="B13" s="35">
        <v>9</v>
      </c>
      <c r="C13" s="35">
        <v>4</v>
      </c>
      <c r="D13" s="35">
        <v>4</v>
      </c>
      <c r="E13" s="35">
        <v>9</v>
      </c>
      <c r="F13" s="35">
        <v>0</v>
      </c>
    </row>
    <row r="14" spans="1:9" ht="21.75" customHeight="1">
      <c r="A14" s="461" t="s">
        <v>672</v>
      </c>
      <c r="B14" s="194">
        <f>SUM(B5:B13)</f>
        <v>71</v>
      </c>
      <c r="C14" s="195">
        <f>SUM(C5:C13)</f>
        <v>92</v>
      </c>
      <c r="D14" s="195">
        <f>SUM(D5:D13)</f>
        <v>65</v>
      </c>
      <c r="E14" s="195">
        <f>SUM(E5:E13)</f>
        <v>139</v>
      </c>
      <c r="F14" s="195">
        <f>SUM(F5:F13)</f>
        <v>77</v>
      </c>
    </row>
    <row r="15" spans="1:9" ht="21.75" customHeight="1">
      <c r="A15" s="19"/>
      <c r="B15" s="19"/>
      <c r="C15" s="19"/>
      <c r="D15" s="19"/>
      <c r="E15" s="19"/>
      <c r="F15" s="19"/>
    </row>
    <row r="16" spans="1:9" ht="21.75" customHeight="1">
      <c r="A16" s="134" t="s">
        <v>1515</v>
      </c>
      <c r="B16" s="365"/>
      <c r="C16" s="365"/>
      <c r="D16" s="365"/>
      <c r="E16" s="365"/>
      <c r="F16" s="365"/>
    </row>
    <row r="17" spans="1:8" ht="21.75" customHeight="1">
      <c r="A17" s="134" t="s">
        <v>1516</v>
      </c>
      <c r="B17" s="135">
        <v>2023</v>
      </c>
      <c r="C17" s="135">
        <v>2022</v>
      </c>
      <c r="D17" s="135">
        <v>2021</v>
      </c>
      <c r="E17" s="135">
        <v>2020</v>
      </c>
      <c r="F17" s="135">
        <v>2019</v>
      </c>
      <c r="G17" s="214"/>
    </row>
    <row r="18" spans="1:8" ht="21.75" customHeight="1">
      <c r="A18" s="460" t="s">
        <v>1517</v>
      </c>
      <c r="B18" s="35">
        <v>1</v>
      </c>
      <c r="C18" s="35">
        <v>0</v>
      </c>
      <c r="D18" s="35">
        <f>1+7+1</f>
        <v>9</v>
      </c>
      <c r="E18" s="392">
        <f>5+2+1+9</f>
        <v>17</v>
      </c>
      <c r="F18" s="35">
        <v>8</v>
      </c>
    </row>
    <row r="19" spans="1:8" ht="21.75" customHeight="1">
      <c r="A19" s="460" t="s">
        <v>1518</v>
      </c>
      <c r="B19" s="35">
        <v>19</v>
      </c>
      <c r="C19" s="35">
        <v>48</v>
      </c>
      <c r="D19" s="35">
        <f>1+1+4</f>
        <v>6</v>
      </c>
      <c r="E19" s="35">
        <f>1+3+8</f>
        <v>12</v>
      </c>
      <c r="F19" s="35">
        <v>18</v>
      </c>
    </row>
    <row r="20" spans="1:8" ht="21.75" customHeight="1">
      <c r="A20" s="460" t="s">
        <v>1519</v>
      </c>
      <c r="B20" s="35">
        <v>1</v>
      </c>
      <c r="C20" s="35">
        <v>2</v>
      </c>
      <c r="D20" s="35">
        <v>0</v>
      </c>
      <c r="E20" s="35">
        <v>0</v>
      </c>
      <c r="F20" s="35">
        <v>7</v>
      </c>
    </row>
    <row r="21" spans="1:8" ht="21.75" customHeight="1">
      <c r="A21" s="460" t="s">
        <v>1520</v>
      </c>
      <c r="B21" s="35">
        <v>2</v>
      </c>
      <c r="C21" s="35">
        <v>7</v>
      </c>
      <c r="D21" s="35">
        <f>6+4</f>
        <v>10</v>
      </c>
      <c r="E21" s="35">
        <v>9</v>
      </c>
      <c r="F21" s="35">
        <v>18</v>
      </c>
    </row>
    <row r="22" spans="1:8" ht="21.75" customHeight="1">
      <c r="A22" s="460" t="s">
        <v>1521</v>
      </c>
      <c r="B22" s="35">
        <v>34</v>
      </c>
      <c r="C22" s="35">
        <v>16</v>
      </c>
      <c r="D22" s="35">
        <f>18+7</f>
        <v>25</v>
      </c>
      <c r="E22" s="35">
        <v>75</v>
      </c>
      <c r="F22" s="35">
        <v>11</v>
      </c>
    </row>
    <row r="23" spans="1:8" ht="21.75" customHeight="1">
      <c r="A23" s="460" t="s">
        <v>1522</v>
      </c>
      <c r="B23" s="35">
        <v>0</v>
      </c>
      <c r="C23" s="35">
        <v>2</v>
      </c>
      <c r="D23" s="35">
        <v>0</v>
      </c>
      <c r="E23" s="35">
        <v>3</v>
      </c>
      <c r="F23" s="35">
        <v>4</v>
      </c>
    </row>
    <row r="24" spans="1:8" ht="21.75" customHeight="1">
      <c r="A24" s="460" t="s">
        <v>1523</v>
      </c>
      <c r="B24" s="35">
        <v>1</v>
      </c>
      <c r="C24" s="35">
        <v>0</v>
      </c>
      <c r="D24" s="35">
        <v>0</v>
      </c>
      <c r="E24" s="35">
        <v>0</v>
      </c>
      <c r="F24" s="35">
        <v>0</v>
      </c>
    </row>
    <row r="25" spans="1:8" ht="21.75" customHeight="1">
      <c r="A25" s="460" t="s">
        <v>1524</v>
      </c>
      <c r="B25" s="35">
        <v>1</v>
      </c>
      <c r="C25" s="35">
        <v>7</v>
      </c>
      <c r="D25" s="35">
        <f>5</f>
        <v>5</v>
      </c>
      <c r="E25" s="35">
        <f>4+4</f>
        <v>8</v>
      </c>
      <c r="F25" s="35">
        <v>3</v>
      </c>
    </row>
    <row r="26" spans="1:8" ht="21.75" customHeight="1">
      <c r="A26" s="460" t="s">
        <v>1525</v>
      </c>
      <c r="B26" s="35">
        <v>3</v>
      </c>
      <c r="C26" s="35">
        <v>7</v>
      </c>
      <c r="D26" s="35">
        <v>0</v>
      </c>
      <c r="E26" s="35">
        <v>0</v>
      </c>
      <c r="F26" s="35">
        <v>8</v>
      </c>
    </row>
    <row r="27" spans="1:8" ht="21.75" customHeight="1">
      <c r="A27" s="460" t="s">
        <v>1526</v>
      </c>
      <c r="B27" s="35">
        <v>3</v>
      </c>
      <c r="C27" s="35">
        <v>0</v>
      </c>
      <c r="D27" s="35">
        <f>10</f>
        <v>10</v>
      </c>
      <c r="E27" s="392">
        <v>2</v>
      </c>
      <c r="F27" s="35">
        <v>0</v>
      </c>
    </row>
    <row r="28" spans="1:8" ht="21.75" customHeight="1">
      <c r="A28" s="460" t="s">
        <v>1527</v>
      </c>
      <c r="B28" s="35">
        <v>0</v>
      </c>
      <c r="C28" s="35">
        <v>0</v>
      </c>
      <c r="D28" s="35">
        <v>0</v>
      </c>
      <c r="E28" s="392">
        <v>0</v>
      </c>
      <c r="F28" s="35">
        <v>0</v>
      </c>
    </row>
    <row r="29" spans="1:8" ht="21.75" customHeight="1">
      <c r="A29" s="460" t="s">
        <v>1528</v>
      </c>
      <c r="B29" s="35">
        <v>6</v>
      </c>
      <c r="C29" s="35">
        <v>3</v>
      </c>
      <c r="D29" s="35">
        <v>0</v>
      </c>
      <c r="E29" s="35">
        <f>5+8</f>
        <v>13</v>
      </c>
      <c r="F29" s="35">
        <v>0</v>
      </c>
    </row>
    <row r="30" spans="1:8" ht="21.75" customHeight="1">
      <c r="A30" s="462" t="s">
        <v>609</v>
      </c>
      <c r="B30" s="195">
        <f>SUM(B18:B29)</f>
        <v>71</v>
      </c>
      <c r="C30" s="195">
        <f>SUM(C18:C29)</f>
        <v>92</v>
      </c>
      <c r="D30" s="195">
        <f>SUM(D18:D29)</f>
        <v>65</v>
      </c>
      <c r="E30" s="195">
        <f>SUM(E18:E29)</f>
        <v>139</v>
      </c>
      <c r="F30" s="195">
        <f>SUM(F18:F29)</f>
        <v>77</v>
      </c>
    </row>
    <row r="31" spans="1:8" ht="21.75" customHeight="1">
      <c r="A31" s="19"/>
      <c r="B31" s="19"/>
      <c r="C31" s="19"/>
      <c r="D31" s="19"/>
      <c r="E31" s="19"/>
      <c r="F31" s="19"/>
    </row>
    <row r="32" spans="1:8" ht="27.5" customHeight="1">
      <c r="A32" s="134" t="s">
        <v>1529</v>
      </c>
      <c r="B32" s="365"/>
      <c r="C32" s="365"/>
      <c r="D32" s="365"/>
      <c r="E32" s="365"/>
      <c r="F32" s="365"/>
      <c r="G32" s="365"/>
      <c r="H32" s="365"/>
    </row>
    <row r="33" spans="1:9" ht="21.75" customHeight="1">
      <c r="A33" s="134"/>
      <c r="B33" s="767">
        <v>2023</v>
      </c>
      <c r="C33" s="751"/>
      <c r="D33" s="767">
        <v>2022</v>
      </c>
      <c r="E33" s="751"/>
      <c r="F33" s="767">
        <v>2021</v>
      </c>
      <c r="G33" s="751"/>
      <c r="H33" s="767">
        <v>2020</v>
      </c>
      <c r="I33" s="751"/>
    </row>
    <row r="34" spans="1:9" ht="44.25" customHeight="1">
      <c r="A34" s="134" t="s">
        <v>744</v>
      </c>
      <c r="B34" s="463" t="s">
        <v>1530</v>
      </c>
      <c r="C34" s="463" t="s">
        <v>1531</v>
      </c>
      <c r="D34" s="463" t="s">
        <v>1530</v>
      </c>
      <c r="E34" s="463" t="s">
        <v>1531</v>
      </c>
      <c r="F34" s="463" t="s">
        <v>1530</v>
      </c>
      <c r="G34" s="463" t="s">
        <v>1531</v>
      </c>
      <c r="H34" s="463" t="s">
        <v>1530</v>
      </c>
      <c r="I34" s="463" t="s">
        <v>1531</v>
      </c>
    </row>
    <row r="35" spans="1:9" ht="21.75" customHeight="1">
      <c r="A35" s="460" t="s">
        <v>689</v>
      </c>
      <c r="B35" s="464">
        <v>0</v>
      </c>
      <c r="C35" s="464">
        <v>0</v>
      </c>
      <c r="D35" s="464">
        <v>0</v>
      </c>
      <c r="E35" s="465" t="s">
        <v>1491</v>
      </c>
      <c r="F35" s="464">
        <v>0</v>
      </c>
      <c r="G35" s="465" t="s">
        <v>1491</v>
      </c>
      <c r="H35" s="464">
        <v>0</v>
      </c>
      <c r="I35" s="465" t="s">
        <v>1491</v>
      </c>
    </row>
    <row r="36" spans="1:9" ht="21.75" customHeight="1">
      <c r="A36" s="460" t="s">
        <v>676</v>
      </c>
      <c r="B36" s="464">
        <v>0</v>
      </c>
      <c r="C36" s="464">
        <v>0</v>
      </c>
      <c r="D36" s="464">
        <v>0</v>
      </c>
      <c r="E36" s="465" t="s">
        <v>1491</v>
      </c>
      <c r="F36" s="464">
        <v>0</v>
      </c>
      <c r="G36" s="465" t="s">
        <v>1491</v>
      </c>
      <c r="H36" s="464">
        <v>0</v>
      </c>
      <c r="I36" s="465" t="s">
        <v>1491</v>
      </c>
    </row>
    <row r="37" spans="1:9" ht="21.75" customHeight="1">
      <c r="A37" s="460" t="s">
        <v>690</v>
      </c>
      <c r="B37" s="464">
        <v>0</v>
      </c>
      <c r="C37" s="464">
        <v>0</v>
      </c>
      <c r="D37" s="464">
        <v>0</v>
      </c>
      <c r="E37" s="465" t="s">
        <v>1491</v>
      </c>
      <c r="F37" s="464">
        <v>0</v>
      </c>
      <c r="G37" s="465" t="s">
        <v>1491</v>
      </c>
      <c r="H37" s="464">
        <v>0</v>
      </c>
      <c r="I37" s="465" t="s">
        <v>1491</v>
      </c>
    </row>
    <row r="38" spans="1:9" ht="21.75" customHeight="1">
      <c r="A38" s="460" t="s">
        <v>678</v>
      </c>
      <c r="B38" s="464">
        <v>0</v>
      </c>
      <c r="C38" s="464">
        <v>0</v>
      </c>
      <c r="D38" s="464">
        <v>0</v>
      </c>
      <c r="E38" s="465" t="s">
        <v>1491</v>
      </c>
      <c r="F38" s="464">
        <v>0</v>
      </c>
      <c r="G38" s="465" t="s">
        <v>1491</v>
      </c>
      <c r="H38" s="464">
        <v>0</v>
      </c>
      <c r="I38" s="465" t="s">
        <v>1491</v>
      </c>
    </row>
    <row r="39" spans="1:9" ht="21.75" customHeight="1">
      <c r="A39" s="460" t="s">
        <v>604</v>
      </c>
      <c r="B39" s="464">
        <v>8</v>
      </c>
      <c r="C39" s="464">
        <v>100</v>
      </c>
      <c r="D39" s="464">
        <v>7</v>
      </c>
      <c r="E39" s="464">
        <v>100</v>
      </c>
      <c r="F39" s="464">
        <v>8</v>
      </c>
      <c r="G39" s="464">
        <v>88</v>
      </c>
      <c r="H39" s="464">
        <v>5</v>
      </c>
      <c r="I39" s="464">
        <v>100</v>
      </c>
    </row>
    <row r="40" spans="1:9" ht="21.75" customHeight="1">
      <c r="A40" s="460" t="s">
        <v>680</v>
      </c>
      <c r="B40" s="464">
        <v>8</v>
      </c>
      <c r="C40" s="464">
        <v>100</v>
      </c>
      <c r="D40" s="464">
        <v>9</v>
      </c>
      <c r="E40" s="464">
        <v>100</v>
      </c>
      <c r="F40" s="464">
        <v>4</v>
      </c>
      <c r="G40" s="464">
        <v>100</v>
      </c>
      <c r="H40" s="464">
        <v>7</v>
      </c>
      <c r="I40" s="464">
        <v>43</v>
      </c>
    </row>
    <row r="41" spans="1:9" ht="21.75" customHeight="1">
      <c r="A41" s="460" t="s">
        <v>691</v>
      </c>
      <c r="B41" s="464">
        <v>13</v>
      </c>
      <c r="C41" s="464">
        <v>100</v>
      </c>
      <c r="D41" s="464">
        <v>22</v>
      </c>
      <c r="E41" s="464">
        <v>95</v>
      </c>
      <c r="F41" s="464">
        <v>14</v>
      </c>
      <c r="G41" s="464">
        <v>100</v>
      </c>
      <c r="H41" s="464">
        <v>13</v>
      </c>
      <c r="I41" s="464">
        <v>100</v>
      </c>
    </row>
    <row r="42" spans="1:9" ht="21.75" customHeight="1">
      <c r="A42" s="460" t="s">
        <v>746</v>
      </c>
      <c r="B42" s="464">
        <v>33</v>
      </c>
      <c r="C42" s="466">
        <v>60.61</v>
      </c>
      <c r="D42" s="464">
        <v>50</v>
      </c>
      <c r="E42" s="464">
        <v>26</v>
      </c>
      <c r="F42" s="464">
        <v>35</v>
      </c>
      <c r="G42" s="464">
        <v>66</v>
      </c>
      <c r="H42" s="464">
        <v>105</v>
      </c>
      <c r="I42" s="464">
        <v>55</v>
      </c>
    </row>
    <row r="43" spans="1:9" ht="21.75" customHeight="1">
      <c r="A43" s="460" t="s">
        <v>1236</v>
      </c>
      <c r="B43" s="464">
        <v>9</v>
      </c>
      <c r="C43" s="464">
        <v>100</v>
      </c>
      <c r="D43" s="464">
        <v>4</v>
      </c>
      <c r="E43" s="464">
        <v>100</v>
      </c>
      <c r="F43" s="464">
        <v>4</v>
      </c>
      <c r="G43" s="464">
        <v>100</v>
      </c>
      <c r="H43" s="464">
        <v>9</v>
      </c>
      <c r="I43" s="464">
        <v>100</v>
      </c>
    </row>
    <row r="44" spans="1:9" ht="21.75" customHeight="1">
      <c r="A44" s="461" t="s">
        <v>672</v>
      </c>
      <c r="B44" s="293">
        <f>SUM(B35:B43)</f>
        <v>71</v>
      </c>
      <c r="C44" s="293">
        <f>SUM(C35:C43)/5</f>
        <v>92.122</v>
      </c>
      <c r="D44" s="293">
        <f>SUM(D35:D43)</f>
        <v>92</v>
      </c>
      <c r="E44" s="293">
        <f>SUM(E35:E43)/5</f>
        <v>84.2</v>
      </c>
      <c r="F44" s="293">
        <f>SUM(F35:F43)</f>
        <v>65</v>
      </c>
      <c r="G44" s="293">
        <f>SUM(G35:G43)/5</f>
        <v>90.8</v>
      </c>
      <c r="H44" s="293">
        <f>SUM(H35:H43)</f>
        <v>139</v>
      </c>
      <c r="I44" s="293">
        <f>SUM(I35:I43)/5</f>
        <v>79.599999999999994</v>
      </c>
    </row>
    <row r="45" spans="1:9" ht="21.75" customHeight="1">
      <c r="A45" s="469"/>
      <c r="B45" s="469"/>
      <c r="C45" s="239"/>
      <c r="D45" s="239"/>
      <c r="E45" s="19"/>
      <c r="F45" s="19"/>
      <c r="G45" s="19"/>
      <c r="H45" s="19"/>
      <c r="I45" s="19"/>
    </row>
    <row r="46" spans="1:9" ht="21.75" customHeight="1"/>
    <row r="47" spans="1:9" ht="26.75" customHeight="1">
      <c r="A47" s="134" t="s">
        <v>1532</v>
      </c>
      <c r="B47" s="135">
        <v>2023</v>
      </c>
      <c r="C47" s="135">
        <v>2022</v>
      </c>
      <c r="D47" s="135">
        <v>2021</v>
      </c>
      <c r="E47" s="135">
        <v>2020</v>
      </c>
      <c r="F47" s="135">
        <v>2019</v>
      </c>
    </row>
    <row r="48" spans="1:9" ht="21.75" customHeight="1">
      <c r="A48" s="467" t="s">
        <v>672</v>
      </c>
      <c r="B48" s="195">
        <v>0</v>
      </c>
      <c r="C48" s="468">
        <v>0</v>
      </c>
      <c r="D48" s="468">
        <v>0</v>
      </c>
      <c r="E48" s="468">
        <v>0</v>
      </c>
      <c r="F48" s="468">
        <v>0</v>
      </c>
    </row>
    <row r="49" spans="1:6" ht="15" customHeight="1">
      <c r="A49" s="44"/>
      <c r="B49" s="44"/>
      <c r="C49" s="44"/>
      <c r="D49" s="44"/>
      <c r="E49" s="44"/>
      <c r="F49" s="44"/>
    </row>
    <row r="50" spans="1:6" ht="15" customHeight="1"/>
  </sheetData>
  <sheetProtection algorithmName="SHA-512" hashValue="I5cdIwyJn0BQw8jo88Q1rp2Y3MoxTEex2ZVYLb51qX31maDmRqNzPrZQeti+Jo8j/YI0MyfMpZCUZkxPpkQZIQ==" saltValue="+qMUqSBdC2fLdrTlkf+f9w==" spinCount="100000" sheet="1" objects="1" scenarios="1"/>
  <mergeCells count="4">
    <mergeCell ref="H33:I33"/>
    <mergeCell ref="F33:G33"/>
    <mergeCell ref="D33:E33"/>
    <mergeCell ref="B33:C33"/>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55"/>
  <sheetViews>
    <sheetView showGridLines="0" showRuler="0" workbookViewId="0">
      <selection sqref="A1:F1"/>
    </sheetView>
  </sheetViews>
  <sheetFormatPr baseColWidth="10" defaultColWidth="12.83203125" defaultRowHeight="13"/>
  <cols>
    <col min="1" max="1" width="41.6640625" customWidth="1"/>
    <col min="2" max="2" width="11.5" customWidth="1"/>
    <col min="3" max="3" width="10.5" customWidth="1"/>
    <col min="4" max="5" width="9.83203125" customWidth="1"/>
    <col min="6" max="6" width="10.83203125" customWidth="1"/>
  </cols>
  <sheetData>
    <row r="1" spans="1:6" ht="26.75" customHeight="1">
      <c r="A1" s="745" t="s">
        <v>1533</v>
      </c>
      <c r="B1" s="745"/>
      <c r="C1" s="745"/>
      <c r="D1" s="745"/>
      <c r="E1" s="745"/>
      <c r="F1" s="745"/>
    </row>
    <row r="2" spans="1:6" ht="16.75" customHeight="1"/>
    <row r="3" spans="1:6" ht="16.75" customHeight="1">
      <c r="A3" s="134" t="s">
        <v>589</v>
      </c>
      <c r="B3" s="135">
        <v>2023</v>
      </c>
      <c r="C3" s="135">
        <v>2022</v>
      </c>
      <c r="D3" s="135">
        <v>2021</v>
      </c>
      <c r="E3" s="135">
        <v>2020</v>
      </c>
      <c r="F3" s="135">
        <v>2019</v>
      </c>
    </row>
    <row r="4" spans="1:6" ht="16.75" customHeight="1">
      <c r="A4" s="460" t="s">
        <v>1534</v>
      </c>
      <c r="B4" s="470">
        <v>50</v>
      </c>
      <c r="C4" s="429">
        <v>119</v>
      </c>
      <c r="D4" s="35">
        <v>148</v>
      </c>
      <c r="E4" s="35">
        <v>72</v>
      </c>
      <c r="F4" s="35">
        <v>85</v>
      </c>
    </row>
    <row r="5" spans="1:6" ht="16.75" customHeight="1">
      <c r="A5" s="460" t="s">
        <v>587</v>
      </c>
      <c r="B5" s="470">
        <v>65</v>
      </c>
      <c r="C5" s="429">
        <v>119</v>
      </c>
      <c r="D5" s="35">
        <v>115</v>
      </c>
      <c r="E5" s="35">
        <v>59</v>
      </c>
      <c r="F5" s="35">
        <v>129</v>
      </c>
    </row>
    <row r="6" spans="1:6" ht="16.75" customHeight="1">
      <c r="A6" s="460" t="s">
        <v>1535</v>
      </c>
      <c r="B6" s="470">
        <v>127</v>
      </c>
      <c r="C6" s="429">
        <v>346</v>
      </c>
      <c r="D6" s="35">
        <v>221</v>
      </c>
      <c r="E6" s="35">
        <v>125</v>
      </c>
      <c r="F6" s="35">
        <v>134</v>
      </c>
    </row>
    <row r="7" spans="1:6" ht="17.5" customHeight="1">
      <c r="A7" s="402" t="s">
        <v>609</v>
      </c>
      <c r="B7" s="471">
        <f>SUM(B4:B6)</f>
        <v>242</v>
      </c>
      <c r="C7" s="472">
        <f>SUM(C4:C6)</f>
        <v>584</v>
      </c>
      <c r="D7" s="472">
        <f>SUM(D4:D6)</f>
        <v>484</v>
      </c>
      <c r="E7" s="472">
        <f>SUM(E4:E6)</f>
        <v>256</v>
      </c>
      <c r="F7" s="472">
        <f>SUM(F4:F6)</f>
        <v>348</v>
      </c>
    </row>
    <row r="8" spans="1:6" ht="16.75" customHeight="1">
      <c r="A8" s="96"/>
      <c r="B8" s="95"/>
      <c r="C8" s="473"/>
      <c r="D8" s="473"/>
      <c r="E8" s="95"/>
      <c r="F8" s="95"/>
    </row>
    <row r="9" spans="1:6" ht="16.75" customHeight="1">
      <c r="A9" s="134" t="s">
        <v>590</v>
      </c>
      <c r="B9" s="135">
        <v>2023</v>
      </c>
      <c r="C9" s="135">
        <v>2022</v>
      </c>
      <c r="D9" s="135">
        <v>2021</v>
      </c>
      <c r="E9" s="135">
        <v>2020</v>
      </c>
      <c r="F9" s="135">
        <v>2019</v>
      </c>
    </row>
    <row r="10" spans="1:6" ht="16.75" customHeight="1">
      <c r="A10" s="21" t="s">
        <v>1534</v>
      </c>
      <c r="B10" s="470">
        <v>127</v>
      </c>
      <c r="C10" s="429">
        <v>101</v>
      </c>
      <c r="D10" s="35">
        <v>156</v>
      </c>
      <c r="E10" s="35">
        <v>192</v>
      </c>
      <c r="F10" s="35">
        <v>57</v>
      </c>
    </row>
    <row r="11" spans="1:6" ht="16.75" customHeight="1">
      <c r="A11" s="21" t="s">
        <v>587</v>
      </c>
      <c r="B11" s="470">
        <v>112</v>
      </c>
      <c r="C11" s="429">
        <v>118</v>
      </c>
      <c r="D11" s="35">
        <v>113</v>
      </c>
      <c r="E11" s="35">
        <v>156</v>
      </c>
      <c r="F11" s="35">
        <v>137</v>
      </c>
    </row>
    <row r="12" spans="1:6" ht="16.75" customHeight="1">
      <c r="A12" s="21" t="s">
        <v>1535</v>
      </c>
      <c r="B12" s="470">
        <v>182</v>
      </c>
      <c r="C12" s="429">
        <v>138</v>
      </c>
      <c r="D12" s="35">
        <v>212</v>
      </c>
      <c r="E12" s="35">
        <v>305</v>
      </c>
      <c r="F12" s="35">
        <v>265</v>
      </c>
    </row>
    <row r="13" spans="1:6" ht="17.5" customHeight="1">
      <c r="A13" s="402" t="s">
        <v>609</v>
      </c>
      <c r="B13" s="471">
        <f>SUM(B10:B12)</f>
        <v>421</v>
      </c>
      <c r="C13" s="472">
        <f>SUM(C10:C12)</f>
        <v>357</v>
      </c>
      <c r="D13" s="472">
        <f>SUM(D10:D12)</f>
        <v>481</v>
      </c>
      <c r="E13" s="472">
        <f>SUM(E10:E12)</f>
        <v>653</v>
      </c>
      <c r="F13" s="472">
        <f>SUM(F10:F12)</f>
        <v>459</v>
      </c>
    </row>
    <row r="14" spans="1:6" ht="16.75" customHeight="1">
      <c r="A14" s="96"/>
      <c r="B14" s="95"/>
      <c r="C14" s="473"/>
      <c r="D14" s="473"/>
      <c r="E14" s="95"/>
      <c r="F14" s="95"/>
    </row>
    <row r="15" spans="1:6" ht="16.75" customHeight="1">
      <c r="A15" s="134" t="s">
        <v>593</v>
      </c>
      <c r="B15" s="135">
        <v>2023</v>
      </c>
      <c r="C15" s="135">
        <v>2022</v>
      </c>
      <c r="D15" s="135">
        <v>2021</v>
      </c>
      <c r="E15" s="135">
        <v>2020</v>
      </c>
      <c r="F15" s="135">
        <v>2019</v>
      </c>
    </row>
    <row r="16" spans="1:6" ht="16.75" customHeight="1">
      <c r="A16" s="460" t="s">
        <v>1534</v>
      </c>
      <c r="B16" s="470">
        <v>375</v>
      </c>
      <c r="C16" s="429">
        <v>390</v>
      </c>
      <c r="D16" s="35">
        <v>346</v>
      </c>
      <c r="E16" s="35">
        <v>271</v>
      </c>
      <c r="F16" s="35">
        <v>161</v>
      </c>
    </row>
    <row r="17" spans="1:6" ht="16.75" customHeight="1">
      <c r="A17" s="460" t="s">
        <v>587</v>
      </c>
      <c r="B17" s="470">
        <v>140</v>
      </c>
      <c r="C17" s="429">
        <v>88</v>
      </c>
      <c r="D17" s="35">
        <v>129</v>
      </c>
      <c r="E17" s="35">
        <v>110</v>
      </c>
      <c r="F17" s="35">
        <v>93</v>
      </c>
    </row>
    <row r="18" spans="1:6" ht="16.75" customHeight="1">
      <c r="A18" s="460" t="s">
        <v>1535</v>
      </c>
      <c r="B18" s="470">
        <v>92</v>
      </c>
      <c r="C18" s="429">
        <v>179</v>
      </c>
      <c r="D18" s="35">
        <v>142</v>
      </c>
      <c r="E18" s="35">
        <v>125</v>
      </c>
      <c r="F18" s="35">
        <v>83</v>
      </c>
    </row>
    <row r="19" spans="1:6" ht="17.5" customHeight="1">
      <c r="A19" s="402" t="s">
        <v>609</v>
      </c>
      <c r="B19" s="471">
        <f>SUM(B16:B18)</f>
        <v>607</v>
      </c>
      <c r="C19" s="472">
        <f>SUM(C16:C18)</f>
        <v>657</v>
      </c>
      <c r="D19" s="472">
        <f>SUM(D16:D18)</f>
        <v>617</v>
      </c>
      <c r="E19" s="472">
        <f>SUM(E16:E18)</f>
        <v>506</v>
      </c>
      <c r="F19" s="472">
        <f>SUM(F16:F18)</f>
        <v>337</v>
      </c>
    </row>
    <row r="20" spans="1:6" ht="16.75" customHeight="1">
      <c r="A20" s="404"/>
      <c r="B20" s="474"/>
      <c r="C20" s="474"/>
      <c r="D20" s="473"/>
      <c r="E20" s="95"/>
      <c r="F20" s="95"/>
    </row>
    <row r="21" spans="1:6" ht="16.75" customHeight="1">
      <c r="A21" s="134" t="s">
        <v>594</v>
      </c>
      <c r="B21" s="135">
        <v>2023</v>
      </c>
      <c r="C21" s="135">
        <v>2022</v>
      </c>
      <c r="D21" s="135">
        <v>2021</v>
      </c>
      <c r="E21" s="135">
        <v>2020</v>
      </c>
      <c r="F21" s="135">
        <v>2019</v>
      </c>
    </row>
    <row r="22" spans="1:6" ht="16.75" customHeight="1">
      <c r="A22" s="21" t="s">
        <v>1534</v>
      </c>
      <c r="B22" s="470">
        <v>113</v>
      </c>
      <c r="C22" s="470">
        <v>88</v>
      </c>
      <c r="D22" s="35">
        <v>99</v>
      </c>
      <c r="E22" s="35">
        <v>71</v>
      </c>
      <c r="F22" s="35">
        <v>24</v>
      </c>
    </row>
    <row r="23" spans="1:6" ht="16.75" customHeight="1">
      <c r="A23" s="21" t="s">
        <v>587</v>
      </c>
      <c r="B23" s="470">
        <v>289</v>
      </c>
      <c r="C23" s="470">
        <v>781</v>
      </c>
      <c r="D23" s="35">
        <v>552</v>
      </c>
      <c r="E23" s="35">
        <v>562</v>
      </c>
      <c r="F23" s="35">
        <v>421</v>
      </c>
    </row>
    <row r="24" spans="1:6" ht="16.75" customHeight="1">
      <c r="A24" s="21" t="s">
        <v>1535</v>
      </c>
      <c r="B24" s="470">
        <v>112</v>
      </c>
      <c r="C24" s="470">
        <v>238</v>
      </c>
      <c r="D24" s="35">
        <v>214</v>
      </c>
      <c r="E24" s="35">
        <v>233</v>
      </c>
      <c r="F24" s="35">
        <v>139</v>
      </c>
    </row>
    <row r="25" spans="1:6" ht="17.5" customHeight="1">
      <c r="A25" s="402" t="s">
        <v>609</v>
      </c>
      <c r="B25" s="471">
        <f>SUM(B22:B24)</f>
        <v>514</v>
      </c>
      <c r="C25" s="471">
        <f>SUM(C22:C24)</f>
        <v>1107</v>
      </c>
      <c r="D25" s="472">
        <f>SUM(D22:D24)</f>
        <v>865</v>
      </c>
      <c r="E25" s="472">
        <f>SUM(E22:E24)</f>
        <v>866</v>
      </c>
      <c r="F25" s="472">
        <f>SUM(F22:F24)</f>
        <v>584</v>
      </c>
    </row>
    <row r="26" spans="1:6" ht="16.75" customHeight="1">
      <c r="A26" s="404"/>
      <c r="B26" s="474"/>
      <c r="C26" s="474"/>
      <c r="D26" s="473"/>
      <c r="E26" s="95"/>
      <c r="F26" s="95"/>
    </row>
    <row r="27" spans="1:6" ht="16.75" customHeight="1">
      <c r="A27" s="134" t="s">
        <v>1225</v>
      </c>
      <c r="B27" s="135">
        <v>2023</v>
      </c>
      <c r="C27" s="135">
        <v>2022</v>
      </c>
      <c r="D27" s="135">
        <v>2021</v>
      </c>
      <c r="E27" s="135">
        <v>2020</v>
      </c>
      <c r="F27" s="135">
        <v>2019</v>
      </c>
    </row>
    <row r="28" spans="1:6" ht="16.75" customHeight="1">
      <c r="A28" s="21" t="s">
        <v>1534</v>
      </c>
      <c r="B28" s="470">
        <v>112</v>
      </c>
      <c r="C28" s="429">
        <v>213</v>
      </c>
      <c r="D28" s="35">
        <v>79</v>
      </c>
      <c r="E28" s="35">
        <v>50</v>
      </c>
      <c r="F28" s="35">
        <v>33</v>
      </c>
    </row>
    <row r="29" spans="1:6" ht="16.75" customHeight="1">
      <c r="A29" s="21" t="s">
        <v>587</v>
      </c>
      <c r="B29" s="470">
        <v>70</v>
      </c>
      <c r="C29" s="429">
        <v>159</v>
      </c>
      <c r="D29" s="35">
        <v>150</v>
      </c>
      <c r="E29" s="35">
        <v>97</v>
      </c>
      <c r="F29" s="35">
        <v>69</v>
      </c>
    </row>
    <row r="30" spans="1:6" ht="16.75" customHeight="1">
      <c r="A30" s="21" t="s">
        <v>1535</v>
      </c>
      <c r="B30" s="470">
        <v>25</v>
      </c>
      <c r="C30" s="429">
        <v>44</v>
      </c>
      <c r="D30" s="35">
        <v>39</v>
      </c>
      <c r="E30" s="35">
        <v>18</v>
      </c>
      <c r="F30" s="35">
        <v>36</v>
      </c>
    </row>
    <row r="31" spans="1:6" ht="17.5" customHeight="1">
      <c r="A31" s="402" t="s">
        <v>609</v>
      </c>
      <c r="B31" s="471">
        <f>SUM(B28:B30)</f>
        <v>207</v>
      </c>
      <c r="C31" s="472">
        <f>SUM(C28:C30)</f>
        <v>416</v>
      </c>
      <c r="D31" s="472">
        <f>SUM(D28:D30)</f>
        <v>268</v>
      </c>
      <c r="E31" s="472">
        <f>SUM(E28:E30)</f>
        <v>165</v>
      </c>
      <c r="F31" s="472">
        <f>SUM(F28:F30)</f>
        <v>138</v>
      </c>
    </row>
    <row r="32" spans="1:6" ht="16.75" customHeight="1">
      <c r="A32" s="345"/>
      <c r="B32" s="475"/>
      <c r="C32" s="475"/>
      <c r="D32" s="475"/>
      <c r="E32" s="475"/>
      <c r="F32" s="475"/>
    </row>
    <row r="33" spans="1:6" ht="16.75" customHeight="1">
      <c r="A33" s="134" t="s">
        <v>1536</v>
      </c>
      <c r="B33" s="135">
        <v>2023</v>
      </c>
      <c r="C33" s="135">
        <v>2022</v>
      </c>
      <c r="D33" s="135">
        <v>2021</v>
      </c>
      <c r="E33" s="135">
        <v>2020</v>
      </c>
      <c r="F33" s="135">
        <v>2019</v>
      </c>
    </row>
    <row r="34" spans="1:6" ht="16.75" customHeight="1">
      <c r="A34" s="21" t="s">
        <v>1534</v>
      </c>
      <c r="B34" s="470">
        <v>4</v>
      </c>
      <c r="C34" s="429">
        <v>8</v>
      </c>
      <c r="D34" s="35">
        <v>1</v>
      </c>
      <c r="E34" s="35">
        <v>2</v>
      </c>
      <c r="F34" s="35">
        <v>4</v>
      </c>
    </row>
    <row r="35" spans="1:6" ht="16.75" customHeight="1">
      <c r="A35" s="21" t="s">
        <v>587</v>
      </c>
      <c r="B35" s="470">
        <v>15</v>
      </c>
      <c r="C35" s="429">
        <v>21</v>
      </c>
      <c r="D35" s="35">
        <v>10</v>
      </c>
      <c r="E35" s="35">
        <v>33</v>
      </c>
      <c r="F35" s="35">
        <v>50</v>
      </c>
    </row>
    <row r="36" spans="1:6" ht="16.75" customHeight="1">
      <c r="A36" s="21" t="s">
        <v>1535</v>
      </c>
      <c r="B36" s="470">
        <v>10</v>
      </c>
      <c r="C36" s="429">
        <v>1</v>
      </c>
      <c r="D36" s="35">
        <v>1</v>
      </c>
      <c r="E36" s="35">
        <v>2</v>
      </c>
      <c r="F36" s="35">
        <v>12</v>
      </c>
    </row>
    <row r="37" spans="1:6" ht="17.5" customHeight="1">
      <c r="A37" s="402" t="s">
        <v>609</v>
      </c>
      <c r="B37" s="471">
        <f>SUM(B34:B36)</f>
        <v>29</v>
      </c>
      <c r="C37" s="472">
        <f>SUM(C34:C36)</f>
        <v>30</v>
      </c>
      <c r="D37" s="472">
        <f>SUM(D34:D36)</f>
        <v>12</v>
      </c>
      <c r="E37" s="472">
        <f>SUM(E34:E36)</f>
        <v>37</v>
      </c>
      <c r="F37" s="472">
        <f>SUM(F34:F36)</f>
        <v>66</v>
      </c>
    </row>
    <row r="38" spans="1:6" ht="16.75" customHeight="1">
      <c r="A38" s="345"/>
      <c r="B38" s="475"/>
      <c r="C38" s="475"/>
      <c r="D38" s="473"/>
      <c r="E38" s="95"/>
      <c r="F38" s="95"/>
    </row>
    <row r="39" spans="1:6" ht="16.75" customHeight="1">
      <c r="A39" s="134" t="s">
        <v>1537</v>
      </c>
      <c r="B39" s="135">
        <v>2023</v>
      </c>
      <c r="C39" s="135">
        <v>2022</v>
      </c>
      <c r="D39" s="135">
        <v>2021</v>
      </c>
      <c r="E39" s="135">
        <v>2020</v>
      </c>
      <c r="F39" s="135">
        <v>2019</v>
      </c>
    </row>
    <row r="40" spans="1:6" ht="16.75" customHeight="1">
      <c r="A40" s="21" t="s">
        <v>1534</v>
      </c>
      <c r="B40" s="470">
        <f>B4+B10+B16+B22+B28</f>
        <v>777</v>
      </c>
      <c r="C40" s="429">
        <v>912</v>
      </c>
      <c r="D40" s="35">
        <f t="shared" ref="D40:F43" si="0">+D28+D22+D10+D16+D4</f>
        <v>828</v>
      </c>
      <c r="E40" s="35">
        <f t="shared" si="0"/>
        <v>656</v>
      </c>
      <c r="F40" s="35">
        <f t="shared" si="0"/>
        <v>360</v>
      </c>
    </row>
    <row r="41" spans="1:6" ht="16.75" customHeight="1">
      <c r="A41" s="21" t="s">
        <v>587</v>
      </c>
      <c r="B41" s="470">
        <v>682</v>
      </c>
      <c r="C41" s="429">
        <f>SUM(C29+C23+C17+C11+C5)</f>
        <v>1265</v>
      </c>
      <c r="D41" s="136">
        <f t="shared" si="0"/>
        <v>1059</v>
      </c>
      <c r="E41" s="35">
        <f t="shared" si="0"/>
        <v>984</v>
      </c>
      <c r="F41" s="35">
        <f t="shared" si="0"/>
        <v>849</v>
      </c>
    </row>
    <row r="42" spans="1:6" ht="16.75" customHeight="1">
      <c r="A42" s="21" t="s">
        <v>1535</v>
      </c>
      <c r="B42" s="470">
        <v>554</v>
      </c>
      <c r="C42" s="429">
        <v>947</v>
      </c>
      <c r="D42" s="35">
        <f t="shared" si="0"/>
        <v>828</v>
      </c>
      <c r="E42" s="35">
        <f t="shared" si="0"/>
        <v>806</v>
      </c>
      <c r="F42" s="35">
        <f t="shared" si="0"/>
        <v>657</v>
      </c>
    </row>
    <row r="43" spans="1:6" ht="17.5" customHeight="1">
      <c r="A43" s="402" t="s">
        <v>609</v>
      </c>
      <c r="B43" s="471">
        <v>2013</v>
      </c>
      <c r="C43" s="472">
        <v>3124</v>
      </c>
      <c r="D43" s="472">
        <f t="shared" si="0"/>
        <v>2715</v>
      </c>
      <c r="E43" s="472">
        <f t="shared" si="0"/>
        <v>2446</v>
      </c>
      <c r="F43" s="472">
        <f t="shared" si="0"/>
        <v>1866</v>
      </c>
    </row>
    <row r="44" spans="1:6" ht="16.75" customHeight="1">
      <c r="A44" s="345"/>
      <c r="B44" s="475"/>
      <c r="C44" s="475"/>
      <c r="D44" s="473"/>
      <c r="E44" s="95"/>
      <c r="F44" s="95"/>
    </row>
    <row r="45" spans="1:6" ht="16.75" customHeight="1">
      <c r="A45" s="134" t="s">
        <v>1538</v>
      </c>
      <c r="B45" s="135">
        <v>2023</v>
      </c>
      <c r="C45" s="135">
        <v>2022</v>
      </c>
      <c r="D45" s="135">
        <v>2021</v>
      </c>
      <c r="E45" s="135">
        <v>2020</v>
      </c>
      <c r="F45" s="135">
        <v>2019</v>
      </c>
    </row>
    <row r="46" spans="1:6" ht="16.75" customHeight="1">
      <c r="A46" s="21" t="s">
        <v>1534</v>
      </c>
      <c r="B46" s="470">
        <f>B40+B34</f>
        <v>781</v>
      </c>
      <c r="C46" s="429">
        <v>920</v>
      </c>
      <c r="D46" s="35">
        <f t="shared" ref="D46:F49" si="1">+D34+D28+D22+D10+D16+D4</f>
        <v>829</v>
      </c>
      <c r="E46" s="35">
        <f t="shared" si="1"/>
        <v>658</v>
      </c>
      <c r="F46" s="35">
        <f t="shared" si="1"/>
        <v>364</v>
      </c>
    </row>
    <row r="47" spans="1:6" ht="16.75" customHeight="1">
      <c r="A47" s="21" t="s">
        <v>587</v>
      </c>
      <c r="B47" s="470">
        <f>B41+B35</f>
        <v>697</v>
      </c>
      <c r="C47" s="429">
        <f>SUM(C35+C29+C23+C17+C11+C5)</f>
        <v>1286</v>
      </c>
      <c r="D47" s="136">
        <f t="shared" si="1"/>
        <v>1069</v>
      </c>
      <c r="E47" s="136">
        <f t="shared" si="1"/>
        <v>1017</v>
      </c>
      <c r="F47" s="35">
        <f t="shared" si="1"/>
        <v>899</v>
      </c>
    </row>
    <row r="48" spans="1:6" ht="16.75" customHeight="1">
      <c r="A48" s="21" t="s">
        <v>1535</v>
      </c>
      <c r="B48" s="470">
        <f>B36+B42</f>
        <v>564</v>
      </c>
      <c r="C48" s="429">
        <v>948</v>
      </c>
      <c r="D48" s="35">
        <f t="shared" si="1"/>
        <v>829</v>
      </c>
      <c r="E48" s="35">
        <f t="shared" si="1"/>
        <v>808</v>
      </c>
      <c r="F48" s="35">
        <f t="shared" si="1"/>
        <v>669</v>
      </c>
    </row>
    <row r="49" spans="1:8" ht="17.5" customHeight="1">
      <c r="A49" s="402" t="s">
        <v>609</v>
      </c>
      <c r="B49" s="471">
        <v>2042</v>
      </c>
      <c r="C49" s="472">
        <v>3154</v>
      </c>
      <c r="D49" s="472">
        <f t="shared" si="1"/>
        <v>2727</v>
      </c>
      <c r="E49" s="472">
        <f t="shared" si="1"/>
        <v>2483</v>
      </c>
      <c r="F49" s="472">
        <f t="shared" si="1"/>
        <v>1932</v>
      </c>
    </row>
    <row r="50" spans="1:8" ht="16.75" customHeight="1">
      <c r="A50" s="345"/>
      <c r="B50" s="475"/>
      <c r="C50" s="475"/>
      <c r="D50" s="475"/>
      <c r="E50" s="475"/>
      <c r="F50" s="475"/>
    </row>
    <row r="51" spans="1:8" ht="20.75" customHeight="1">
      <c r="A51" s="740" t="s">
        <v>1539</v>
      </c>
      <c r="B51" s="685"/>
      <c r="C51" s="685"/>
      <c r="D51" s="685"/>
      <c r="E51" s="685"/>
      <c r="F51" s="685"/>
      <c r="G51" s="685"/>
      <c r="H51" s="685"/>
    </row>
    <row r="52" spans="1:8" ht="12.5" customHeight="1">
      <c r="A52" s="740" t="s">
        <v>1540</v>
      </c>
      <c r="B52" s="685"/>
      <c r="C52" s="685"/>
      <c r="D52" s="685"/>
      <c r="E52" s="685"/>
      <c r="F52" s="685"/>
      <c r="G52" s="685"/>
      <c r="H52" s="685"/>
    </row>
    <row r="53" spans="1:8" ht="33.25" customHeight="1">
      <c r="A53" s="740" t="s">
        <v>1541</v>
      </c>
      <c r="B53" s="685"/>
      <c r="C53" s="685"/>
      <c r="D53" s="685"/>
      <c r="E53" s="685"/>
      <c r="F53" s="685"/>
      <c r="G53" s="685"/>
      <c r="H53" s="685"/>
    </row>
    <row r="54" spans="1:8" ht="30.75" customHeight="1">
      <c r="A54" s="51"/>
    </row>
    <row r="55" spans="1:8" ht="16.75" customHeight="1">
      <c r="A55" s="51"/>
    </row>
  </sheetData>
  <sheetProtection algorithmName="SHA-512" hashValue="b8T3HTsDN8CxmQF2m3hQZNDE+LKNEsaZxLCqZrDbr72HO5dLFWLS3Owb6QJss0f95ST+ptGZJZ5EFtFW0OvYow==" saltValue="/zattMF6Oua+VPcx13NHvw==" spinCount="100000" sheet="1" objects="1" scenarios="1"/>
  <mergeCells count="4">
    <mergeCell ref="A1:F1"/>
    <mergeCell ref="A51:H51"/>
    <mergeCell ref="A52:H52"/>
    <mergeCell ref="A53:H53"/>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V50"/>
  <sheetViews>
    <sheetView showGridLines="0" showRuler="0" workbookViewId="0">
      <selection activeCell="C26" sqref="C26"/>
    </sheetView>
  </sheetViews>
  <sheetFormatPr baseColWidth="10" defaultColWidth="12.83203125" defaultRowHeight="13"/>
  <cols>
    <col min="1" max="1" width="33.6640625" customWidth="1"/>
    <col min="2" max="2" width="103.83203125" customWidth="1"/>
    <col min="3" max="4" width="11.6640625" customWidth="1"/>
    <col min="5" max="21" width="8.83203125" customWidth="1"/>
  </cols>
  <sheetData>
    <row r="1" spans="1:4" ht="23.25" customHeight="1">
      <c r="A1" s="134" t="s">
        <v>1542</v>
      </c>
    </row>
    <row r="2" spans="1:4" ht="16.75" customHeight="1"/>
    <row r="3" spans="1:4" ht="34.25" customHeight="1">
      <c r="A3" s="745" t="s">
        <v>1543</v>
      </c>
      <c r="B3" s="745"/>
      <c r="C3" s="135">
        <v>2023</v>
      </c>
      <c r="D3" s="476"/>
    </row>
    <row r="4" spans="1:4" ht="24.25" customHeight="1">
      <c r="A4" s="768" t="s">
        <v>1544</v>
      </c>
      <c r="B4" s="768"/>
      <c r="C4" s="477">
        <v>45</v>
      </c>
      <c r="D4" s="24"/>
    </row>
    <row r="5" spans="1:4" ht="25.75" customHeight="1">
      <c r="A5" s="769" t="s">
        <v>1545</v>
      </c>
      <c r="B5" s="769"/>
      <c r="C5" s="96"/>
    </row>
    <row r="6" spans="1:4" ht="16.75" customHeight="1"/>
    <row r="7" spans="1:4" ht="16.75" customHeight="1">
      <c r="A7" s="770" t="s">
        <v>1546</v>
      </c>
      <c r="B7" s="770"/>
      <c r="C7" s="478">
        <v>2023</v>
      </c>
      <c r="D7" s="476"/>
    </row>
    <row r="8" spans="1:4" ht="15.75" customHeight="1">
      <c r="A8" s="479" t="s">
        <v>1547</v>
      </c>
      <c r="B8" s="480"/>
      <c r="C8" s="481">
        <v>0.7</v>
      </c>
      <c r="D8" s="24"/>
    </row>
    <row r="9" spans="1:4" ht="15" customHeight="1">
      <c r="A9" s="21" t="s">
        <v>1548</v>
      </c>
      <c r="B9" s="24"/>
      <c r="C9" s="117">
        <v>3.2</v>
      </c>
      <c r="D9" s="24"/>
    </row>
    <row r="10" spans="1:4" ht="15" customHeight="1">
      <c r="A10" s="422" t="s">
        <v>609</v>
      </c>
      <c r="B10" s="482"/>
      <c r="C10" s="483">
        <f>SUM(C8:C9)</f>
        <v>3.9000000000000004</v>
      </c>
      <c r="D10" s="484"/>
    </row>
    <row r="11" spans="1:4" ht="37.5" customHeight="1">
      <c r="A11" s="769" t="s">
        <v>1549</v>
      </c>
      <c r="B11" s="769"/>
      <c r="C11" s="769"/>
      <c r="D11" s="685"/>
    </row>
    <row r="12" spans="1:4" ht="16.75" customHeight="1"/>
    <row r="13" spans="1:4" ht="24.25" customHeight="1">
      <c r="A13" s="770" t="s">
        <v>1550</v>
      </c>
      <c r="B13" s="745"/>
      <c r="C13" s="135">
        <v>2023</v>
      </c>
      <c r="D13" s="177" t="s">
        <v>1296</v>
      </c>
    </row>
    <row r="14" spans="1:4" ht="16.75" customHeight="1">
      <c r="A14" s="479" t="s">
        <v>1242</v>
      </c>
      <c r="B14" s="24"/>
      <c r="C14" s="136">
        <v>1251</v>
      </c>
      <c r="D14" s="136">
        <v>48</v>
      </c>
    </row>
    <row r="15" spans="1:4" ht="16.75" customHeight="1">
      <c r="A15" s="21" t="s">
        <v>1241</v>
      </c>
      <c r="B15" s="24"/>
      <c r="C15" s="136">
        <v>1374</v>
      </c>
      <c r="D15" s="136">
        <v>52</v>
      </c>
    </row>
    <row r="16" spans="1:4" ht="17.5" customHeight="1">
      <c r="A16" s="422" t="s">
        <v>626</v>
      </c>
      <c r="B16" s="482"/>
      <c r="C16" s="445">
        <f>SUM(C14:C15)</f>
        <v>2625</v>
      </c>
      <c r="D16" s="445">
        <v>100</v>
      </c>
    </row>
    <row r="17" spans="1:22" ht="16.75" customHeight="1">
      <c r="A17" s="404" t="s">
        <v>1551</v>
      </c>
      <c r="B17" s="488"/>
      <c r="C17" s="488"/>
      <c r="D17" s="488"/>
    </row>
    <row r="18" spans="1:22" ht="16.75" customHeight="1"/>
    <row r="19" spans="1:22" ht="21.75" customHeight="1">
      <c r="A19" s="134" t="s">
        <v>1552</v>
      </c>
    </row>
    <row r="20" spans="1:22" ht="16.75" customHeight="1"/>
    <row r="21" spans="1:22" ht="24.25" customHeight="1">
      <c r="A21" s="745" t="s">
        <v>1553</v>
      </c>
      <c r="B21" s="745"/>
      <c r="C21" s="135">
        <v>2023</v>
      </c>
      <c r="D21" s="476"/>
    </row>
    <row r="22" spans="1:22" ht="24.25" customHeight="1">
      <c r="A22" s="768" t="s">
        <v>1544</v>
      </c>
      <c r="B22" s="768"/>
      <c r="C22" s="477">
        <v>5</v>
      </c>
      <c r="D22" s="24"/>
    </row>
    <row r="23" spans="1:22" ht="26.75" customHeight="1">
      <c r="A23" s="766" t="s">
        <v>1554</v>
      </c>
      <c r="B23" s="766"/>
      <c r="C23" s="404"/>
    </row>
    <row r="24" spans="1:22" ht="16.75" customHeight="1">
      <c r="V24" s="489"/>
    </row>
    <row r="25" spans="1:22" ht="24.25" customHeight="1">
      <c r="A25" s="745" t="s">
        <v>1555</v>
      </c>
      <c r="B25" s="745"/>
      <c r="C25" s="135">
        <v>2023</v>
      </c>
      <c r="D25" s="476"/>
    </row>
    <row r="26" spans="1:22" ht="24.25" customHeight="1">
      <c r="A26" s="768" t="s">
        <v>1556</v>
      </c>
      <c r="B26" s="768"/>
      <c r="C26" s="485">
        <v>116628</v>
      </c>
      <c r="D26" s="24"/>
    </row>
    <row r="27" spans="1:22" ht="16.75" customHeight="1">
      <c r="A27" s="490"/>
      <c r="B27" s="490"/>
      <c r="C27" s="490"/>
    </row>
    <row r="28" spans="1:22" ht="24.25" customHeight="1">
      <c r="A28" s="770" t="s">
        <v>1557</v>
      </c>
      <c r="B28" s="770"/>
      <c r="C28" s="478">
        <v>2023</v>
      </c>
      <c r="D28" s="486" t="s">
        <v>1296</v>
      </c>
      <c r="E28" s="1"/>
    </row>
    <row r="29" spans="1:22" ht="15" customHeight="1">
      <c r="A29" s="479" t="s">
        <v>1242</v>
      </c>
      <c r="B29" s="480"/>
      <c r="C29" s="487">
        <v>81</v>
      </c>
      <c r="D29" s="487">
        <f>C29*100/209</f>
        <v>38.755980861244019</v>
      </c>
      <c r="E29" s="1"/>
    </row>
    <row r="30" spans="1:22" ht="15" customHeight="1">
      <c r="A30" s="21" t="s">
        <v>1241</v>
      </c>
      <c r="B30" s="24"/>
      <c r="C30" s="35">
        <v>128</v>
      </c>
      <c r="D30" s="35">
        <f>C30*100/209</f>
        <v>61.244019138755981</v>
      </c>
      <c r="E30" s="1"/>
    </row>
    <row r="31" spans="1:22" ht="15" customHeight="1">
      <c r="A31" s="422" t="s">
        <v>626</v>
      </c>
      <c r="B31" s="482"/>
      <c r="C31" s="447">
        <f>SUM(C29:C30)</f>
        <v>209</v>
      </c>
      <c r="D31" s="447">
        <f>SUM(D29:D30)</f>
        <v>100</v>
      </c>
      <c r="E31" s="1"/>
    </row>
    <row r="32" spans="1:22" ht="5.75" customHeight="1">
      <c r="A32" s="96"/>
      <c r="B32" s="491"/>
      <c r="C32" s="490"/>
      <c r="D32" s="490"/>
    </row>
    <row r="33" spans="1:2" ht="16.75" customHeight="1">
      <c r="A33" s="740" t="s">
        <v>1558</v>
      </c>
      <c r="B33" s="685"/>
    </row>
    <row r="34" spans="1:2" ht="16.75" customHeight="1"/>
    <row r="35" spans="1:2" ht="15" customHeight="1"/>
    <row r="36" spans="1:2" ht="15" customHeight="1"/>
    <row r="37" spans="1:2" ht="15" customHeight="1"/>
    <row r="38" spans="1:2" ht="15" customHeight="1"/>
    <row r="39" spans="1:2" ht="15" customHeight="1"/>
    <row r="40" spans="1:2" ht="15" customHeight="1"/>
    <row r="41" spans="1:2" ht="15" customHeight="1"/>
    <row r="42" spans="1:2" ht="15" customHeight="1"/>
    <row r="43" spans="1:2" ht="15" customHeight="1"/>
    <row r="44" spans="1:2" ht="15" customHeight="1"/>
    <row r="45" spans="1:2" ht="15" customHeight="1"/>
    <row r="46" spans="1:2" ht="15" customHeight="1"/>
    <row r="47" spans="1:2" ht="15" customHeight="1"/>
    <row r="48" spans="1:2" ht="15" customHeight="1"/>
    <row r="49" ht="15" customHeight="1"/>
    <row r="50" ht="15" customHeight="1"/>
  </sheetData>
  <sheetProtection algorithmName="SHA-512" hashValue="ghEzLDnRDCTDZJPJq6OaK58EyQy5QBr1P30Nps3vkkZP7uXAR7eB8QKYz8YPj97d8QjvYoVyDCLdZDf7XYcfSw==" saltValue="RX0sJInJvvmFK1n0s9yAIA==" spinCount="100000" sheet="1" objects="1" scenarios="1"/>
  <mergeCells count="13">
    <mergeCell ref="A26:B26"/>
    <mergeCell ref="A28:B28"/>
    <mergeCell ref="A33:B33"/>
    <mergeCell ref="A13:B13"/>
    <mergeCell ref="A21:B21"/>
    <mergeCell ref="A22:B22"/>
    <mergeCell ref="A23:B23"/>
    <mergeCell ref="A25:B25"/>
    <mergeCell ref="A3:B3"/>
    <mergeCell ref="A4:B4"/>
    <mergeCell ref="A5:B5"/>
    <mergeCell ref="A7:B7"/>
    <mergeCell ref="A11:D11"/>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B381-E882-D647-89E9-B9D585CAF5EF}">
  <dimension ref="A1:G41"/>
  <sheetViews>
    <sheetView showGridLines="0" topLeftCell="A31" zoomScale="80" zoomScaleNormal="80" workbookViewId="0">
      <selection activeCell="L6" sqref="L6"/>
    </sheetView>
  </sheetViews>
  <sheetFormatPr baseColWidth="10" defaultRowHeight="13"/>
  <cols>
    <col min="1" max="1" width="19.5" style="651" customWidth="1"/>
    <col min="2" max="7" width="33" style="651" customWidth="1"/>
    <col min="8" max="16384" width="10.83203125" style="651"/>
  </cols>
  <sheetData>
    <row r="1" spans="1:7" ht="23" customHeight="1" thickBot="1">
      <c r="A1" s="660"/>
      <c r="B1" s="661" t="s">
        <v>1625</v>
      </c>
      <c r="C1" s="661" t="s">
        <v>1626</v>
      </c>
      <c r="D1" s="661" t="s">
        <v>593</v>
      </c>
      <c r="E1" s="661" t="s">
        <v>1627</v>
      </c>
      <c r="F1" s="661" t="s">
        <v>1628</v>
      </c>
      <c r="G1" s="661" t="s">
        <v>589</v>
      </c>
    </row>
    <row r="2" spans="1:7" ht="49" thickBot="1">
      <c r="A2" s="654" t="s">
        <v>1629</v>
      </c>
      <c r="B2" s="655" t="s">
        <v>1107</v>
      </c>
      <c r="C2" s="655" t="s">
        <v>1107</v>
      </c>
      <c r="D2" s="655" t="s">
        <v>1107</v>
      </c>
      <c r="E2" s="655" t="s">
        <v>1630</v>
      </c>
      <c r="F2" s="655" t="s">
        <v>1631</v>
      </c>
      <c r="G2" s="655" t="s">
        <v>1107</v>
      </c>
    </row>
    <row r="3" spans="1:7" ht="32">
      <c r="A3" s="783" t="s">
        <v>1632</v>
      </c>
      <c r="B3" s="656" t="s">
        <v>1651</v>
      </c>
      <c r="C3" s="656" t="s">
        <v>1655</v>
      </c>
      <c r="D3" s="771" t="s">
        <v>1633</v>
      </c>
      <c r="E3" s="771" t="s">
        <v>1633</v>
      </c>
      <c r="F3" s="771" t="s">
        <v>1633</v>
      </c>
      <c r="G3" s="771" t="s">
        <v>1633</v>
      </c>
    </row>
    <row r="4" spans="1:7" ht="64">
      <c r="A4" s="784"/>
      <c r="B4" s="656" t="s">
        <v>1652</v>
      </c>
      <c r="C4" s="656" t="s">
        <v>1656</v>
      </c>
      <c r="D4" s="772"/>
      <c r="E4" s="772"/>
      <c r="F4" s="772"/>
      <c r="G4" s="772"/>
    </row>
    <row r="5" spans="1:7" ht="14" customHeight="1" thickBot="1">
      <c r="A5" s="785"/>
      <c r="B5" s="657" t="s">
        <v>1653</v>
      </c>
      <c r="C5" s="647"/>
      <c r="D5" s="773"/>
      <c r="E5" s="773"/>
      <c r="F5" s="773"/>
      <c r="G5" s="773"/>
    </row>
    <row r="6" spans="1:7" ht="80">
      <c r="A6" s="774" t="s">
        <v>1634</v>
      </c>
      <c r="B6" s="656" t="s">
        <v>1654</v>
      </c>
      <c r="C6" s="656" t="s">
        <v>1708</v>
      </c>
      <c r="D6" s="656" t="s">
        <v>1661</v>
      </c>
      <c r="E6" s="656" t="s">
        <v>1663</v>
      </c>
      <c r="F6" s="656" t="s">
        <v>1663</v>
      </c>
      <c r="G6" s="649" t="s">
        <v>1635</v>
      </c>
    </row>
    <row r="7" spans="1:7" ht="96">
      <c r="A7" s="775"/>
      <c r="B7" s="656" t="s">
        <v>1657</v>
      </c>
      <c r="C7" s="656" t="s">
        <v>1658</v>
      </c>
      <c r="D7" s="656" t="s">
        <v>1662</v>
      </c>
      <c r="E7" s="656" t="s">
        <v>1664</v>
      </c>
      <c r="F7" s="656" t="s">
        <v>1664</v>
      </c>
      <c r="G7" s="656" t="s">
        <v>1668</v>
      </c>
    </row>
    <row r="8" spans="1:7" ht="48">
      <c r="A8" s="775"/>
      <c r="B8" s="648"/>
      <c r="C8" s="656" t="s">
        <v>1659</v>
      </c>
      <c r="D8" s="648"/>
      <c r="E8" s="656" t="s">
        <v>1665</v>
      </c>
      <c r="F8" s="656" t="s">
        <v>1665</v>
      </c>
      <c r="G8" s="656" t="s">
        <v>1669</v>
      </c>
    </row>
    <row r="9" spans="1:7" ht="96">
      <c r="A9" s="775"/>
      <c r="B9" s="648"/>
      <c r="C9" s="656" t="s">
        <v>1660</v>
      </c>
      <c r="D9" s="648"/>
      <c r="E9" s="656" t="s">
        <v>1707</v>
      </c>
      <c r="F9" s="656" t="s">
        <v>1666</v>
      </c>
      <c r="G9" s="656" t="s">
        <v>1670</v>
      </c>
    </row>
    <row r="10" spans="1:7" ht="176">
      <c r="A10" s="775"/>
      <c r="B10" s="648"/>
      <c r="C10" s="648"/>
      <c r="D10" s="648"/>
      <c r="E10" s="656"/>
      <c r="F10" s="656" t="s">
        <v>1667</v>
      </c>
      <c r="G10" s="656" t="s">
        <v>1671</v>
      </c>
    </row>
    <row r="11" spans="1:7" ht="48">
      <c r="A11" s="775"/>
      <c r="B11" s="648"/>
      <c r="C11" s="648"/>
      <c r="D11" s="648"/>
      <c r="E11" s="648"/>
      <c r="F11" s="648"/>
      <c r="G11" s="656" t="s">
        <v>1672</v>
      </c>
    </row>
    <row r="12" spans="1:7" ht="128">
      <c r="A12" s="775"/>
      <c r="B12" s="648"/>
      <c r="C12" s="648"/>
      <c r="D12" s="648"/>
      <c r="E12" s="648"/>
      <c r="F12" s="648"/>
      <c r="G12" s="656" t="s">
        <v>1673</v>
      </c>
    </row>
    <row r="13" spans="1:7" ht="48">
      <c r="A13" s="775"/>
      <c r="B13" s="648"/>
      <c r="C13" s="648"/>
      <c r="D13" s="648"/>
      <c r="E13" s="648"/>
      <c r="F13" s="648"/>
      <c r="G13" s="649" t="s">
        <v>1636</v>
      </c>
    </row>
    <row r="14" spans="1:7" ht="16">
      <c r="A14" s="775"/>
      <c r="B14" s="648"/>
      <c r="C14" s="648"/>
      <c r="D14" s="648"/>
      <c r="E14" s="648"/>
      <c r="F14" s="648"/>
      <c r="G14" s="656" t="s">
        <v>1674</v>
      </c>
    </row>
    <row r="15" spans="1:7" ht="32">
      <c r="A15" s="775"/>
      <c r="B15" s="648"/>
      <c r="C15" s="648"/>
      <c r="D15" s="648"/>
      <c r="E15" s="648"/>
      <c r="F15" s="648"/>
      <c r="G15" s="656" t="s">
        <v>1675</v>
      </c>
    </row>
    <row r="16" spans="1:7" ht="64">
      <c r="A16" s="775"/>
      <c r="B16" s="648"/>
      <c r="C16" s="648"/>
      <c r="D16" s="648"/>
      <c r="E16" s="648"/>
      <c r="F16" s="648"/>
      <c r="G16" s="649" t="s">
        <v>1637</v>
      </c>
    </row>
    <row r="17" spans="1:7" ht="16">
      <c r="A17" s="775"/>
      <c r="B17" s="648"/>
      <c r="C17" s="648"/>
      <c r="D17" s="648"/>
      <c r="E17" s="648"/>
      <c r="F17" s="648"/>
      <c r="G17" s="656" t="s">
        <v>1676</v>
      </c>
    </row>
    <row r="18" spans="1:7" ht="81" thickBot="1">
      <c r="A18" s="776"/>
      <c r="B18" s="647"/>
      <c r="C18" s="647"/>
      <c r="D18" s="647"/>
      <c r="E18" s="647"/>
      <c r="F18" s="647"/>
      <c r="G18" s="657" t="s">
        <v>1677</v>
      </c>
    </row>
    <row r="19" spans="1:7" ht="64">
      <c r="A19" s="774" t="s">
        <v>1638</v>
      </c>
      <c r="B19" s="771"/>
      <c r="C19" s="777" t="s">
        <v>1678</v>
      </c>
      <c r="D19" s="771" t="s">
        <v>1639</v>
      </c>
      <c r="E19" s="656" t="s">
        <v>1679</v>
      </c>
      <c r="F19" s="656" t="s">
        <v>1682</v>
      </c>
      <c r="G19" s="780" t="s">
        <v>1640</v>
      </c>
    </row>
    <row r="20" spans="1:7" ht="96">
      <c r="A20" s="775"/>
      <c r="B20" s="772"/>
      <c r="C20" s="778"/>
      <c r="D20" s="772"/>
      <c r="E20" s="656" t="s">
        <v>1680</v>
      </c>
      <c r="F20" s="656" t="s">
        <v>1683</v>
      </c>
      <c r="G20" s="781"/>
    </row>
    <row r="21" spans="1:7" ht="64">
      <c r="A21" s="775"/>
      <c r="B21" s="772"/>
      <c r="C21" s="778"/>
      <c r="D21" s="772"/>
      <c r="E21" s="656" t="s">
        <v>1681</v>
      </c>
      <c r="F21" s="656" t="s">
        <v>1684</v>
      </c>
      <c r="G21" s="781"/>
    </row>
    <row r="22" spans="1:7" ht="48">
      <c r="A22" s="775"/>
      <c r="B22" s="772"/>
      <c r="C22" s="778"/>
      <c r="D22" s="772"/>
      <c r="E22" s="648"/>
      <c r="F22" s="656" t="s">
        <v>1685</v>
      </c>
      <c r="G22" s="781"/>
    </row>
    <row r="23" spans="1:7" ht="49" thickBot="1">
      <c r="A23" s="776"/>
      <c r="B23" s="773"/>
      <c r="C23" s="779"/>
      <c r="D23" s="773"/>
      <c r="E23" s="647"/>
      <c r="F23" s="657" t="s">
        <v>1681</v>
      </c>
      <c r="G23" s="782"/>
    </row>
    <row r="24" spans="1:7" ht="80">
      <c r="A24" s="774" t="s">
        <v>1641</v>
      </c>
      <c r="B24" s="786"/>
      <c r="C24" s="786"/>
      <c r="D24" s="771"/>
      <c r="E24" s="656" t="s">
        <v>1688</v>
      </c>
      <c r="F24" s="771"/>
      <c r="G24" s="786"/>
    </row>
    <row r="25" spans="1:7" ht="64">
      <c r="A25" s="775"/>
      <c r="B25" s="787"/>
      <c r="C25" s="787"/>
      <c r="D25" s="772"/>
      <c r="E25" s="656" t="s">
        <v>1689</v>
      </c>
      <c r="F25" s="772"/>
      <c r="G25" s="787"/>
    </row>
    <row r="26" spans="1:7" ht="145" thickBot="1">
      <c r="A26" s="776"/>
      <c r="B26" s="788"/>
      <c r="C26" s="788"/>
      <c r="D26" s="773"/>
      <c r="E26" s="657" t="s">
        <v>1690</v>
      </c>
      <c r="F26" s="773"/>
      <c r="G26" s="788"/>
    </row>
    <row r="27" spans="1:7" ht="208">
      <c r="A27" s="774" t="s">
        <v>1642</v>
      </c>
      <c r="B27" s="777" t="s">
        <v>1686</v>
      </c>
      <c r="C27" s="777" t="s">
        <v>1687</v>
      </c>
      <c r="D27" s="771"/>
      <c r="E27" s="656" t="s">
        <v>1691</v>
      </c>
      <c r="F27" s="656" t="s">
        <v>1692</v>
      </c>
      <c r="G27" s="786"/>
    </row>
    <row r="28" spans="1:7" ht="129" thickBot="1">
      <c r="A28" s="776"/>
      <c r="B28" s="779"/>
      <c r="C28" s="779"/>
      <c r="D28" s="773"/>
      <c r="E28" s="657" t="s">
        <v>1693</v>
      </c>
      <c r="F28" s="657" t="s">
        <v>1694</v>
      </c>
      <c r="G28" s="788"/>
    </row>
    <row r="29" spans="1:7" ht="128">
      <c r="A29" s="774" t="s">
        <v>1643</v>
      </c>
      <c r="B29" s="786"/>
      <c r="C29" s="786"/>
      <c r="D29" s="771"/>
      <c r="E29" s="771"/>
      <c r="F29" s="771"/>
      <c r="G29" s="649" t="s">
        <v>1644</v>
      </c>
    </row>
    <row r="30" spans="1:7" ht="16">
      <c r="A30" s="775"/>
      <c r="B30" s="787"/>
      <c r="C30" s="787"/>
      <c r="D30" s="772"/>
      <c r="E30" s="772"/>
      <c r="F30" s="772"/>
      <c r="G30" s="656" t="s">
        <v>1695</v>
      </c>
    </row>
    <row r="31" spans="1:7" ht="80">
      <c r="A31" s="775"/>
      <c r="B31" s="787"/>
      <c r="C31" s="787"/>
      <c r="D31" s="772"/>
      <c r="E31" s="772"/>
      <c r="F31" s="772"/>
      <c r="G31" s="656" t="s">
        <v>1696</v>
      </c>
    </row>
    <row r="32" spans="1:7" ht="32">
      <c r="A32" s="775"/>
      <c r="B32" s="787"/>
      <c r="C32" s="787"/>
      <c r="D32" s="772"/>
      <c r="E32" s="772"/>
      <c r="F32" s="772"/>
      <c r="G32" s="649" t="s">
        <v>1645</v>
      </c>
    </row>
    <row r="33" spans="1:7" ht="32">
      <c r="A33" s="775"/>
      <c r="B33" s="787"/>
      <c r="C33" s="787"/>
      <c r="D33" s="772"/>
      <c r="E33" s="772"/>
      <c r="F33" s="772"/>
      <c r="G33" s="656" t="s">
        <v>1705</v>
      </c>
    </row>
    <row r="34" spans="1:7" ht="32">
      <c r="A34" s="775"/>
      <c r="B34" s="787"/>
      <c r="C34" s="787"/>
      <c r="D34" s="772"/>
      <c r="E34" s="772"/>
      <c r="F34" s="772"/>
      <c r="G34" s="656" t="s">
        <v>1706</v>
      </c>
    </row>
    <row r="35" spans="1:7" ht="65" thickBot="1">
      <c r="A35" s="776"/>
      <c r="B35" s="788"/>
      <c r="C35" s="788"/>
      <c r="D35" s="773"/>
      <c r="E35" s="773"/>
      <c r="F35" s="773"/>
      <c r="G35" s="657" t="s">
        <v>1646</v>
      </c>
    </row>
    <row r="36" spans="1:7" ht="80">
      <c r="A36" s="658" t="s">
        <v>1647</v>
      </c>
      <c r="B36" s="656" t="s">
        <v>1697</v>
      </c>
      <c r="C36" s="777" t="s">
        <v>1701</v>
      </c>
      <c r="D36" s="656" t="s">
        <v>1702</v>
      </c>
      <c r="E36" s="771"/>
      <c r="F36" s="786"/>
      <c r="G36" s="786"/>
    </row>
    <row r="37" spans="1:7" ht="64">
      <c r="A37" s="658" t="s">
        <v>1648</v>
      </c>
      <c r="B37" s="656" t="s">
        <v>1698</v>
      </c>
      <c r="C37" s="778"/>
      <c r="D37" s="656" t="s">
        <v>1703</v>
      </c>
      <c r="E37" s="772"/>
      <c r="F37" s="787"/>
      <c r="G37" s="787"/>
    </row>
    <row r="38" spans="1:7" ht="96">
      <c r="A38" s="652"/>
      <c r="B38" s="656" t="s">
        <v>1699</v>
      </c>
      <c r="C38" s="778"/>
      <c r="D38" s="656" t="s">
        <v>1704</v>
      </c>
      <c r="E38" s="772"/>
      <c r="F38" s="787"/>
      <c r="G38" s="787"/>
    </row>
    <row r="39" spans="1:7" ht="49" thickBot="1">
      <c r="A39" s="653"/>
      <c r="B39" s="657" t="s">
        <v>1700</v>
      </c>
      <c r="C39" s="779"/>
      <c r="D39" s="647"/>
      <c r="E39" s="773"/>
      <c r="F39" s="788"/>
      <c r="G39" s="788"/>
    </row>
    <row r="40" spans="1:7" ht="15">
      <c r="A40" s="650" t="s">
        <v>1649</v>
      </c>
    </row>
    <row r="41" spans="1:7" ht="14">
      <c r="A41" s="659" t="s">
        <v>1650</v>
      </c>
    </row>
  </sheetData>
  <sheetProtection algorithmName="SHA-512" hashValue="j3H2EgtX11SxuNnwNej7sNHMRuHwqShKgubrGr6RXaJh1Pitg8gTUpxGjVem0SjGk0FPxJaFCmELWwbC2It2Eg==" saltValue="pkkxXyEqUNOCjum4OJMB0Q==" spinCount="100000" sheet="1" objects="1" scenarios="1"/>
  <mergeCells count="32">
    <mergeCell ref="C36:C39"/>
    <mergeCell ref="E36:E39"/>
    <mergeCell ref="F36:F39"/>
    <mergeCell ref="G36:G39"/>
    <mergeCell ref="A29:A35"/>
    <mergeCell ref="B29:B35"/>
    <mergeCell ref="C29:C35"/>
    <mergeCell ref="D29:D35"/>
    <mergeCell ref="E29:E35"/>
    <mergeCell ref="F29:F35"/>
    <mergeCell ref="G24:G26"/>
    <mergeCell ref="A27:A28"/>
    <mergeCell ref="B27:B28"/>
    <mergeCell ref="C27:C28"/>
    <mergeCell ref="D27:D28"/>
    <mergeCell ref="G27:G28"/>
    <mergeCell ref="A24:A26"/>
    <mergeCell ref="B24:B26"/>
    <mergeCell ref="C24:C26"/>
    <mergeCell ref="D24:D26"/>
    <mergeCell ref="F24:F26"/>
    <mergeCell ref="G3:G5"/>
    <mergeCell ref="A19:A23"/>
    <mergeCell ref="B19:B23"/>
    <mergeCell ref="C19:C23"/>
    <mergeCell ref="D19:D23"/>
    <mergeCell ref="G19:G23"/>
    <mergeCell ref="A6:A18"/>
    <mergeCell ref="A3:A5"/>
    <mergeCell ref="D3:D5"/>
    <mergeCell ref="E3:E5"/>
    <mergeCell ref="F3:F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0"/>
  <sheetViews>
    <sheetView showGridLines="0" showRuler="0" workbookViewId="0">
      <selection activeCell="D4" sqref="D4"/>
    </sheetView>
  </sheetViews>
  <sheetFormatPr baseColWidth="10" defaultColWidth="12.83203125" defaultRowHeight="13"/>
  <cols>
    <col min="1" max="1" width="55.1640625" customWidth="1"/>
    <col min="2" max="2" width="16.33203125" customWidth="1"/>
    <col min="3" max="7" width="14.33203125" customWidth="1"/>
    <col min="8" max="8" width="19.6640625" customWidth="1"/>
  </cols>
  <sheetData>
    <row r="1" spans="1:8" ht="44.25" customHeight="1">
      <c r="A1" s="16" t="s">
        <v>582</v>
      </c>
      <c r="B1" s="17" t="s">
        <v>583</v>
      </c>
      <c r="C1" s="17" t="s">
        <v>584</v>
      </c>
      <c r="D1" s="18" t="s">
        <v>585</v>
      </c>
      <c r="E1" s="17" t="s">
        <v>586</v>
      </c>
      <c r="F1" s="17" t="s">
        <v>587</v>
      </c>
      <c r="G1" s="17" t="s">
        <v>588</v>
      </c>
    </row>
    <row r="2" spans="1:8" ht="21.75" customHeight="1">
      <c r="A2" s="19" t="s">
        <v>589</v>
      </c>
      <c r="B2" s="598">
        <v>168</v>
      </c>
      <c r="C2" s="598">
        <v>1.02</v>
      </c>
      <c r="D2" s="598">
        <v>9</v>
      </c>
      <c r="E2" s="598">
        <v>983</v>
      </c>
      <c r="F2" s="598">
        <v>240</v>
      </c>
      <c r="G2" s="598">
        <f>SUM(B2:F2)</f>
        <v>1401.02</v>
      </c>
    </row>
    <row r="3" spans="1:8" ht="21.75" customHeight="1">
      <c r="A3" s="21" t="s">
        <v>590</v>
      </c>
      <c r="B3" s="608">
        <v>102</v>
      </c>
      <c r="C3" s="609" t="s">
        <v>1612</v>
      </c>
      <c r="D3" s="608">
        <v>3</v>
      </c>
      <c r="E3" s="608">
        <v>306</v>
      </c>
      <c r="F3" s="609" t="s">
        <v>1613</v>
      </c>
      <c r="G3" s="608">
        <v>419</v>
      </c>
    </row>
    <row r="4" spans="1:8" ht="21.75" customHeight="1">
      <c r="A4" s="21" t="s">
        <v>591</v>
      </c>
      <c r="B4" s="598">
        <v>53</v>
      </c>
      <c r="C4" s="610" t="s">
        <v>592</v>
      </c>
      <c r="D4" s="598">
        <v>435</v>
      </c>
      <c r="E4" s="598">
        <v>2.2999999999999998</v>
      </c>
      <c r="F4" s="598">
        <v>17</v>
      </c>
      <c r="G4" s="598">
        <v>507</v>
      </c>
    </row>
    <row r="5" spans="1:8" ht="21.75" customHeight="1">
      <c r="A5" s="21" t="s">
        <v>593</v>
      </c>
      <c r="B5" s="598">
        <v>83</v>
      </c>
      <c r="C5" s="598">
        <v>6</v>
      </c>
      <c r="D5" s="598">
        <v>13</v>
      </c>
      <c r="E5" s="598">
        <v>771</v>
      </c>
      <c r="F5" s="611" t="s">
        <v>1614</v>
      </c>
      <c r="G5" s="598">
        <v>1078</v>
      </c>
    </row>
    <row r="6" spans="1:8" ht="21.75" customHeight="1">
      <c r="A6" s="25" t="s">
        <v>594</v>
      </c>
      <c r="B6" s="612">
        <v>46</v>
      </c>
      <c r="C6" s="612">
        <v>7</v>
      </c>
      <c r="D6" s="612">
        <v>6</v>
      </c>
      <c r="E6" s="612">
        <v>225</v>
      </c>
      <c r="F6" s="612">
        <v>69</v>
      </c>
      <c r="G6" s="612">
        <f>SUM(B6:F6)</f>
        <v>353</v>
      </c>
    </row>
    <row r="7" spans="1:8" ht="21.75" customHeight="1">
      <c r="A7" s="27" t="s">
        <v>595</v>
      </c>
      <c r="B7" s="613" t="s">
        <v>1615</v>
      </c>
      <c r="C7" s="614">
        <v>17</v>
      </c>
      <c r="D7" s="614">
        <v>465</v>
      </c>
      <c r="E7" s="614">
        <v>2288</v>
      </c>
      <c r="F7" s="614">
        <v>534</v>
      </c>
      <c r="G7" s="614">
        <v>3757</v>
      </c>
    </row>
    <row r="8" spans="1:8" ht="17.5" customHeight="1">
      <c r="A8" s="738" t="s">
        <v>596</v>
      </c>
      <c r="B8" s="738"/>
      <c r="C8" s="738"/>
      <c r="D8" s="738"/>
      <c r="E8" s="738"/>
      <c r="F8" s="738"/>
      <c r="G8" s="738"/>
      <c r="H8" s="685"/>
    </row>
    <row r="9" spans="1:8" ht="15" customHeight="1">
      <c r="A9" s="31" t="s">
        <v>597</v>
      </c>
      <c r="B9" s="39"/>
      <c r="C9" s="31"/>
      <c r="D9" s="31"/>
      <c r="E9" s="31"/>
      <c r="F9" s="31"/>
      <c r="G9" s="40"/>
      <c r="H9" s="41"/>
    </row>
    <row r="10" spans="1:8" ht="15" customHeight="1">
      <c r="A10" s="31" t="s">
        <v>598</v>
      </c>
      <c r="B10" s="39"/>
      <c r="C10" s="31"/>
      <c r="D10" s="31"/>
      <c r="E10" s="31"/>
      <c r="F10" s="31"/>
      <c r="G10" s="40"/>
      <c r="H10" s="31"/>
    </row>
    <row r="11" spans="1:8" ht="16.75" customHeight="1">
      <c r="A11" s="739" t="s">
        <v>599</v>
      </c>
      <c r="B11" s="739"/>
      <c r="C11" s="739"/>
      <c r="D11" s="739"/>
      <c r="E11" s="739"/>
      <c r="F11" s="31"/>
      <c r="G11" s="40"/>
      <c r="H11" s="31"/>
    </row>
    <row r="12" spans="1:8" ht="15" customHeight="1">
      <c r="A12" s="739" t="s">
        <v>600</v>
      </c>
      <c r="B12" s="739"/>
      <c r="C12" s="739"/>
      <c r="D12" s="739"/>
      <c r="E12" s="739"/>
      <c r="F12" s="739"/>
      <c r="G12" s="40"/>
      <c r="H12" s="31"/>
    </row>
    <row r="13" spans="1:8" ht="14.25" customHeight="1">
      <c r="A13" s="739" t="s">
        <v>601</v>
      </c>
      <c r="B13" s="739"/>
      <c r="C13" s="739"/>
      <c r="D13" s="739"/>
      <c r="E13" s="739"/>
      <c r="F13" s="739"/>
      <c r="G13" s="42"/>
      <c r="H13" s="43"/>
    </row>
    <row r="14" spans="1:8" ht="21.75" customHeight="1">
      <c r="G14" s="42"/>
      <c r="H14" s="43"/>
    </row>
    <row r="15" spans="1:8" ht="21.75" customHeight="1">
      <c r="A15" s="32" t="s">
        <v>602</v>
      </c>
      <c r="B15" s="33">
        <v>2023</v>
      </c>
      <c r="C15" s="33">
        <v>2022</v>
      </c>
      <c r="D15" s="33">
        <v>2021</v>
      </c>
      <c r="E15" s="33">
        <v>2020</v>
      </c>
      <c r="F15" s="33">
        <v>2019</v>
      </c>
      <c r="G15" s="33">
        <v>2018</v>
      </c>
    </row>
    <row r="16" spans="1:8" ht="21.75" customHeight="1">
      <c r="A16" s="21" t="s">
        <v>589</v>
      </c>
      <c r="B16" s="56">
        <v>1401</v>
      </c>
      <c r="C16" s="56">
        <v>1387</v>
      </c>
      <c r="D16" s="615">
        <v>1269</v>
      </c>
      <c r="E16" s="615">
        <v>1013</v>
      </c>
      <c r="F16" s="615">
        <v>984</v>
      </c>
      <c r="G16" s="615">
        <v>1062</v>
      </c>
    </row>
    <row r="17" spans="1:7" ht="21.75" customHeight="1">
      <c r="A17" s="21" t="s">
        <v>590</v>
      </c>
      <c r="B17" s="145">
        <v>419</v>
      </c>
      <c r="C17" s="145">
        <v>454</v>
      </c>
      <c r="D17" s="615">
        <v>408</v>
      </c>
      <c r="E17" s="615">
        <v>283</v>
      </c>
      <c r="F17" s="615">
        <v>286</v>
      </c>
      <c r="G17" s="615">
        <v>336</v>
      </c>
    </row>
    <row r="18" spans="1:7" ht="21.75" customHeight="1">
      <c r="A18" s="21" t="s">
        <v>591</v>
      </c>
      <c r="B18" s="145">
        <v>507</v>
      </c>
      <c r="C18" s="145">
        <v>605</v>
      </c>
      <c r="D18" s="615">
        <v>495</v>
      </c>
      <c r="E18" s="615">
        <v>394</v>
      </c>
      <c r="F18" s="615">
        <v>203</v>
      </c>
      <c r="G18" s="615">
        <v>200</v>
      </c>
    </row>
    <row r="19" spans="1:7" ht="21.75" customHeight="1">
      <c r="A19" s="21" t="s">
        <v>593</v>
      </c>
      <c r="B19" s="56">
        <v>1078</v>
      </c>
      <c r="C19" s="56">
        <v>1142</v>
      </c>
      <c r="D19" s="615">
        <v>1103</v>
      </c>
      <c r="E19" s="615">
        <v>887</v>
      </c>
      <c r="F19" s="615">
        <v>810</v>
      </c>
      <c r="G19" s="615">
        <v>855</v>
      </c>
    </row>
    <row r="20" spans="1:7" ht="21.75" customHeight="1">
      <c r="A20" s="25" t="s">
        <v>594</v>
      </c>
      <c r="B20" s="308">
        <v>353</v>
      </c>
      <c r="C20" s="308">
        <v>337</v>
      </c>
      <c r="D20" s="616">
        <v>315</v>
      </c>
      <c r="E20" s="616">
        <v>273</v>
      </c>
      <c r="F20" s="616">
        <v>295</v>
      </c>
      <c r="G20" s="616">
        <v>258</v>
      </c>
    </row>
    <row r="21" spans="1:7" ht="21.75" customHeight="1">
      <c r="A21" s="27" t="s">
        <v>595</v>
      </c>
      <c r="B21" s="38">
        <v>3757</v>
      </c>
      <c r="C21" s="38">
        <v>3926</v>
      </c>
      <c r="D21" s="38">
        <v>3591</v>
      </c>
      <c r="E21" s="38">
        <v>2849</v>
      </c>
      <c r="F21" s="38">
        <v>2577</v>
      </c>
      <c r="G21" s="38">
        <v>2711</v>
      </c>
    </row>
    <row r="22" spans="1:7" ht="15" customHeight="1">
      <c r="A22" s="44"/>
      <c r="B22" s="44"/>
      <c r="C22" s="44"/>
      <c r="D22" s="44"/>
      <c r="E22" s="44"/>
      <c r="F22" s="44"/>
      <c r="G22" s="44"/>
    </row>
    <row r="23" spans="1:7" ht="15" customHeight="1"/>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sheetProtection algorithmName="SHA-512" hashValue="aqOSyVmjqRPIgr2wR/oLmOpQVg9bbNZysQ5aOUdxDM4npnosrlU9zPSK0iOqTAHNJA1asRTSgrks5LeFhkI9lA==" saltValue="g+kMWz8VdORYlpBDxQ8e+g==" spinCount="100000" sheet="1" objects="1" scenarios="1"/>
  <mergeCells count="4">
    <mergeCell ref="A8:H8"/>
    <mergeCell ref="A12:F12"/>
    <mergeCell ref="A11:E11"/>
    <mergeCell ref="A13:F13"/>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0"/>
  <sheetViews>
    <sheetView showGridLines="0" showRuler="0" workbookViewId="0"/>
  </sheetViews>
  <sheetFormatPr baseColWidth="10" defaultColWidth="12.83203125" defaultRowHeight="13"/>
  <cols>
    <col min="1" max="1" width="55.1640625" customWidth="1"/>
    <col min="2" max="5" width="14.33203125" customWidth="1"/>
  </cols>
  <sheetData>
    <row r="1" spans="1:5" ht="21.75" customHeight="1">
      <c r="A1" s="32" t="s">
        <v>603</v>
      </c>
      <c r="B1" s="17" t="s">
        <v>604</v>
      </c>
      <c r="C1" s="17" t="s">
        <v>593</v>
      </c>
      <c r="D1" s="17" t="s">
        <v>594</v>
      </c>
      <c r="E1" s="17" t="s">
        <v>589</v>
      </c>
    </row>
    <row r="2" spans="1:5" ht="21.75" customHeight="1">
      <c r="A2" s="21" t="s">
        <v>605</v>
      </c>
      <c r="B2" s="20">
        <v>2.5</v>
      </c>
      <c r="C2" s="20">
        <v>55</v>
      </c>
      <c r="D2" s="20">
        <v>7</v>
      </c>
      <c r="E2" s="20">
        <v>48</v>
      </c>
    </row>
    <row r="3" spans="1:5" ht="21.75" customHeight="1">
      <c r="A3" s="21" t="s">
        <v>606</v>
      </c>
      <c r="B3" s="20">
        <v>1</v>
      </c>
      <c r="C3" s="20">
        <v>149</v>
      </c>
      <c r="D3" s="20">
        <v>62</v>
      </c>
      <c r="E3" s="20">
        <v>192</v>
      </c>
    </row>
    <row r="4" spans="1:5" ht="21.75" customHeight="1">
      <c r="A4" s="21" t="s">
        <v>607</v>
      </c>
      <c r="C4" s="20">
        <v>12</v>
      </c>
    </row>
    <row r="5" spans="1:5" ht="21.75" customHeight="1">
      <c r="A5" s="25" t="s">
        <v>608</v>
      </c>
      <c r="C5" s="26">
        <v>6</v>
      </c>
      <c r="D5" s="26">
        <v>5</v>
      </c>
    </row>
    <row r="6" spans="1:5" ht="21.75" customHeight="1">
      <c r="A6" s="45" t="s">
        <v>609</v>
      </c>
      <c r="B6" s="29">
        <f>SUM(B2:B4)</f>
        <v>3.5</v>
      </c>
      <c r="C6" s="29">
        <v>222</v>
      </c>
      <c r="D6" s="29">
        <v>74</v>
      </c>
      <c r="E6" s="29">
        <v>240</v>
      </c>
    </row>
    <row r="7" spans="1:5" ht="21.75" customHeight="1">
      <c r="A7" s="46" t="s">
        <v>610</v>
      </c>
      <c r="B7" s="47">
        <v>2</v>
      </c>
      <c r="C7" s="47">
        <v>55</v>
      </c>
      <c r="D7" s="47">
        <v>55</v>
      </c>
      <c r="E7" s="47">
        <v>29</v>
      </c>
    </row>
    <row r="8" spans="1:5" ht="21.75" customHeight="1">
      <c r="A8" s="738" t="s">
        <v>611</v>
      </c>
      <c r="B8" s="738"/>
      <c r="C8" s="738"/>
      <c r="D8" s="48"/>
      <c r="E8" s="30"/>
    </row>
    <row r="9" spans="1:5" ht="15" customHeight="1"/>
    <row r="10" spans="1:5" ht="15" customHeight="1"/>
    <row r="11" spans="1:5" ht="15" customHeight="1"/>
    <row r="12" spans="1:5" ht="15" customHeight="1"/>
    <row r="13" spans="1:5" ht="15" customHeight="1"/>
    <row r="14" spans="1:5" ht="15" customHeight="1"/>
    <row r="15" spans="1:5" ht="15" customHeight="1"/>
    <row r="16" spans="1:5"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sheetProtection algorithmName="SHA-512" hashValue="XMo2fHRIU0z+t0ydsv7yuIDDynsH7PS8xvm1XWHyR+x/mkCyNZt6OwLhNUPCv4VscuxX0yyLZm4a8BPddNLgfg==" saltValue="o7VIDH+GlZe8I8CaHLlarA==" spinCount="100000" sheet="1" objects="1" scenarios="1"/>
  <mergeCells count="1">
    <mergeCell ref="A8:C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50"/>
  <sheetViews>
    <sheetView showGridLines="0" showRuler="0" workbookViewId="0">
      <selection activeCell="E28" sqref="E28"/>
    </sheetView>
  </sheetViews>
  <sheetFormatPr baseColWidth="10" defaultColWidth="12.83203125" defaultRowHeight="13"/>
  <cols>
    <col min="1" max="1" width="55.1640625" customWidth="1"/>
    <col min="2" max="8" width="14.33203125" customWidth="1"/>
  </cols>
  <sheetData>
    <row r="1" spans="1:7" ht="44.25" customHeight="1">
      <c r="A1" s="32" t="s">
        <v>612</v>
      </c>
      <c r="B1" s="33">
        <v>2023</v>
      </c>
      <c r="C1" s="33">
        <v>2022</v>
      </c>
      <c r="D1" s="33">
        <v>2021</v>
      </c>
      <c r="E1" s="17" t="s">
        <v>613</v>
      </c>
      <c r="F1" s="33">
        <v>2019</v>
      </c>
      <c r="G1" s="33">
        <v>2018</v>
      </c>
    </row>
    <row r="2" spans="1:7" ht="21.75" customHeight="1">
      <c r="A2" s="21" t="s">
        <v>614</v>
      </c>
      <c r="B2" s="617">
        <v>435</v>
      </c>
      <c r="C2" s="617">
        <v>445</v>
      </c>
      <c r="D2" s="598">
        <v>383</v>
      </c>
      <c r="E2" s="598">
        <f>802300/1000</f>
        <v>802.3</v>
      </c>
      <c r="F2" s="598">
        <f>298770/1000</f>
        <v>298.77</v>
      </c>
      <c r="G2" s="598">
        <f>331985/1000</f>
        <v>331.98500000000001</v>
      </c>
    </row>
    <row r="3" spans="1:7" ht="21.75" customHeight="1">
      <c r="A3" s="21" t="s">
        <v>615</v>
      </c>
      <c r="B3" s="617">
        <v>504</v>
      </c>
      <c r="C3" s="617">
        <v>401</v>
      </c>
      <c r="D3" s="610" t="s">
        <v>1616</v>
      </c>
      <c r="E3" s="598">
        <f>1469363/1000</f>
        <v>1469.3630000000001</v>
      </c>
      <c r="F3" s="598">
        <f>537474/1000</f>
        <v>537.47400000000005</v>
      </c>
      <c r="G3" s="598">
        <f>318961/1000</f>
        <v>318.96100000000001</v>
      </c>
    </row>
    <row r="4" spans="1:7" ht="21.75" customHeight="1">
      <c r="A4" s="21" t="s">
        <v>616</v>
      </c>
      <c r="B4" s="617">
        <v>104</v>
      </c>
      <c r="C4" s="617">
        <v>101</v>
      </c>
      <c r="D4" s="598">
        <f>100643/1000</f>
        <v>100.643</v>
      </c>
      <c r="E4" s="598">
        <f>118128/1000</f>
        <v>118.128</v>
      </c>
      <c r="F4" s="598">
        <f>110163/1000</f>
        <v>110.163</v>
      </c>
      <c r="G4" s="598">
        <f>252213/1000</f>
        <v>252.21299999999999</v>
      </c>
    </row>
    <row r="5" spans="1:7" ht="21.75" customHeight="1">
      <c r="A5" s="21" t="s">
        <v>617</v>
      </c>
      <c r="B5" s="617">
        <v>5</v>
      </c>
      <c r="C5" s="617">
        <v>5</v>
      </c>
      <c r="D5" s="598">
        <f>4684/1000</f>
        <v>4.6840000000000002</v>
      </c>
      <c r="E5" s="598">
        <f>5142/1000</f>
        <v>5.1420000000000003</v>
      </c>
      <c r="F5" s="598">
        <f>5397/1000</f>
        <v>5.3970000000000002</v>
      </c>
      <c r="G5" s="598">
        <f>6393/1000</f>
        <v>6.3929999999999998</v>
      </c>
    </row>
    <row r="6" spans="1:7" ht="21.75" customHeight="1">
      <c r="A6" s="21" t="s">
        <v>618</v>
      </c>
      <c r="B6" s="617">
        <v>0</v>
      </c>
      <c r="C6" s="617">
        <v>0</v>
      </c>
      <c r="D6" s="598">
        <v>0</v>
      </c>
      <c r="E6" s="598">
        <v>0</v>
      </c>
      <c r="F6" s="598">
        <v>0</v>
      </c>
      <c r="G6" s="598">
        <f>502/1000</f>
        <v>0.502</v>
      </c>
    </row>
    <row r="7" spans="1:7" ht="21.75" customHeight="1">
      <c r="A7" s="21" t="s">
        <v>619</v>
      </c>
      <c r="B7" s="617">
        <v>8</v>
      </c>
      <c r="C7" s="617">
        <v>8</v>
      </c>
      <c r="D7" s="598">
        <f>10000/100</f>
        <v>100</v>
      </c>
      <c r="E7" s="598">
        <f>165000/1000</f>
        <v>165</v>
      </c>
      <c r="F7" s="598">
        <f>10000/1000</f>
        <v>10</v>
      </c>
      <c r="G7" s="598">
        <f>10000/1000</f>
        <v>10</v>
      </c>
    </row>
    <row r="8" spans="1:7" ht="21.75" customHeight="1">
      <c r="A8" s="21" t="s">
        <v>620</v>
      </c>
      <c r="B8" s="617">
        <v>1</v>
      </c>
      <c r="C8" s="618"/>
      <c r="D8" s="618"/>
      <c r="E8" s="618"/>
      <c r="F8" s="618"/>
      <c r="G8" s="618"/>
    </row>
    <row r="9" spans="1:7" ht="21.75" customHeight="1">
      <c r="A9" s="21" t="s">
        <v>621</v>
      </c>
      <c r="B9" s="617">
        <v>450</v>
      </c>
      <c r="C9" s="617">
        <v>452</v>
      </c>
      <c r="D9" s="598">
        <f>442806/1000</f>
        <v>442.80599999999998</v>
      </c>
      <c r="E9" s="598">
        <f>249204/1000</f>
        <v>249.20400000000001</v>
      </c>
      <c r="F9" s="598">
        <f>255256.12/1000</f>
        <v>255.25611999999998</v>
      </c>
      <c r="G9" s="598">
        <f>287341/1000</f>
        <v>287.34100000000001</v>
      </c>
    </row>
    <row r="10" spans="1:7" ht="21.75" customHeight="1">
      <c r="A10" s="21" t="s">
        <v>622</v>
      </c>
      <c r="B10" s="617">
        <v>335</v>
      </c>
      <c r="C10" s="617">
        <v>348</v>
      </c>
      <c r="D10" s="598">
        <f>346789/1000</f>
        <v>346.78899999999999</v>
      </c>
      <c r="E10" s="598">
        <f>275768/1000</f>
        <v>275.76799999999997</v>
      </c>
      <c r="F10" s="598">
        <f>139094.56/1000</f>
        <v>139.09456</v>
      </c>
      <c r="G10" s="598">
        <f>9000/1000</f>
        <v>9</v>
      </c>
    </row>
    <row r="11" spans="1:7" ht="21.75" customHeight="1">
      <c r="A11" s="21" t="s">
        <v>623</v>
      </c>
      <c r="B11" s="617">
        <v>185</v>
      </c>
      <c r="C11" s="617">
        <v>200.08</v>
      </c>
      <c r="D11" s="598">
        <f>103448.54/1000</f>
        <v>103.44853999999999</v>
      </c>
      <c r="E11" s="598">
        <f>112992/1000</f>
        <v>112.992</v>
      </c>
      <c r="F11" s="598">
        <f>111004/1000</f>
        <v>111.004</v>
      </c>
      <c r="G11" s="598">
        <f>108220/1000</f>
        <v>108.22</v>
      </c>
    </row>
    <row r="12" spans="1:7" ht="21.75" customHeight="1">
      <c r="A12" s="25" t="s">
        <v>624</v>
      </c>
      <c r="B12" s="619">
        <v>227</v>
      </c>
      <c r="C12" s="619">
        <v>202</v>
      </c>
      <c r="D12" s="620" t="s">
        <v>625</v>
      </c>
      <c r="E12" s="620" t="s">
        <v>625</v>
      </c>
      <c r="F12" s="620" t="s">
        <v>625</v>
      </c>
      <c r="G12" s="620" t="s">
        <v>625</v>
      </c>
    </row>
    <row r="13" spans="1:7" ht="21.75" customHeight="1">
      <c r="A13" s="27" t="s">
        <v>626</v>
      </c>
      <c r="B13" s="614">
        <f>SUM(B2:B12)</f>
        <v>2254</v>
      </c>
      <c r="C13" s="621">
        <f>SUM(C2:C12)</f>
        <v>2162.08</v>
      </c>
      <c r="D13" s="621">
        <f>SUM(D2:D11)</f>
        <v>1481.3705400000001</v>
      </c>
      <c r="E13" s="621">
        <f>SUM(E2:E11)</f>
        <v>3197.8970000000004</v>
      </c>
      <c r="F13" s="621">
        <f>SUM(F2:F11)</f>
        <v>1467.15868</v>
      </c>
      <c r="G13" s="621">
        <f>SUM(G2:G11)</f>
        <v>1324.615</v>
      </c>
    </row>
    <row r="14" spans="1:7" ht="21.75" customHeight="1">
      <c r="A14" s="738" t="s">
        <v>627</v>
      </c>
      <c r="B14" s="738"/>
      <c r="C14" s="738"/>
      <c r="D14" s="738"/>
      <c r="E14" s="738"/>
      <c r="F14" s="30"/>
      <c r="G14" s="30"/>
    </row>
    <row r="15" spans="1:7" ht="21.75" customHeight="1">
      <c r="A15" s="740" t="s">
        <v>628</v>
      </c>
      <c r="B15" s="685"/>
      <c r="C15" s="685"/>
      <c r="D15" s="685"/>
      <c r="E15" s="685"/>
    </row>
    <row r="16" spans="1:7"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sheetProtection algorithmName="SHA-512" hashValue="X0antNxctTTfA2eQdYsMlpH/Gn/u6AjK5n+UYEhFSvFlcy1/z4EdrXIZ/7GL5iG+HrrpQPlfGDevi24SX/6Sfw==" saltValue="heflHfEDX6oUpSMcIvWi8g==" spinCount="100000" sheet="1" objects="1" scenarios="1"/>
  <mergeCells count="2">
    <mergeCell ref="A14:E14"/>
    <mergeCell ref="A15:E15"/>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5"/>
  <sheetViews>
    <sheetView showGridLines="0" showRuler="0" topLeftCell="A17" zoomScale="120" zoomScaleNormal="120" workbookViewId="0">
      <selection activeCell="Q38" sqref="Q38"/>
    </sheetView>
  </sheetViews>
  <sheetFormatPr baseColWidth="10" defaultColWidth="12.83203125" defaultRowHeight="13"/>
  <cols>
    <col min="1" max="1" width="57.5" customWidth="1"/>
    <col min="2" max="2" width="18.33203125" customWidth="1"/>
    <col min="3" max="4" width="14.33203125" customWidth="1"/>
    <col min="5" max="5" width="19.83203125" customWidth="1"/>
    <col min="6" max="11" width="14.33203125" customWidth="1"/>
    <col min="12" max="14" width="9" customWidth="1"/>
  </cols>
  <sheetData>
    <row r="1" spans="1:13" ht="64.25" customHeight="1">
      <c r="A1" s="52" t="s">
        <v>629</v>
      </c>
      <c r="B1" s="53">
        <v>2023</v>
      </c>
      <c r="C1" s="54" t="s">
        <v>630</v>
      </c>
      <c r="D1" s="53">
        <v>2022</v>
      </c>
      <c r="E1" s="54" t="s">
        <v>630</v>
      </c>
      <c r="F1" s="53">
        <v>2021</v>
      </c>
      <c r="G1" s="54" t="s">
        <v>630</v>
      </c>
      <c r="H1" s="53">
        <v>2020</v>
      </c>
      <c r="I1" s="54" t="s">
        <v>630</v>
      </c>
      <c r="J1" s="53">
        <v>2019</v>
      </c>
      <c r="K1" s="54" t="s">
        <v>630</v>
      </c>
      <c r="L1" s="53">
        <v>2018</v>
      </c>
      <c r="M1" s="54" t="s">
        <v>630</v>
      </c>
    </row>
    <row r="2" spans="1:13" ht="21.75" customHeight="1">
      <c r="A2" s="55" t="s">
        <v>631</v>
      </c>
      <c r="B2" s="596">
        <f>+C10</f>
        <v>3952</v>
      </c>
      <c r="C2" s="597">
        <v>1</v>
      </c>
      <c r="D2" s="598">
        <v>3809</v>
      </c>
      <c r="E2" s="599">
        <v>1</v>
      </c>
      <c r="F2" s="598">
        <v>3814</v>
      </c>
      <c r="G2" s="599">
        <v>1</v>
      </c>
      <c r="H2" s="600">
        <v>3760</v>
      </c>
      <c r="I2" s="599">
        <v>1</v>
      </c>
      <c r="J2" s="600">
        <v>3904</v>
      </c>
      <c r="K2" s="599">
        <v>1</v>
      </c>
      <c r="L2" s="600">
        <v>4955</v>
      </c>
      <c r="M2" s="599">
        <v>1</v>
      </c>
    </row>
    <row r="3" spans="1:13" ht="21.75" customHeight="1" thickBot="1">
      <c r="A3" s="57" t="s">
        <v>632</v>
      </c>
      <c r="B3" s="601">
        <f>+D10</f>
        <v>235</v>
      </c>
      <c r="C3" s="602">
        <f>+F10</f>
        <v>0.77</v>
      </c>
      <c r="D3" s="603">
        <v>225</v>
      </c>
      <c r="E3" s="604">
        <v>0.75</v>
      </c>
      <c r="F3" s="603">
        <v>218</v>
      </c>
      <c r="G3" s="604">
        <v>0.71</v>
      </c>
      <c r="H3" s="605">
        <v>227</v>
      </c>
      <c r="I3" s="604">
        <v>0.74</v>
      </c>
      <c r="J3" s="605">
        <v>222</v>
      </c>
      <c r="K3" s="604">
        <v>0.75375000000000003</v>
      </c>
      <c r="L3" s="605">
        <v>209</v>
      </c>
      <c r="M3" s="604">
        <v>0.74</v>
      </c>
    </row>
    <row r="4" spans="1:13" ht="21.75" customHeight="1" thickBot="1">
      <c r="A4" s="92"/>
      <c r="B4" s="92"/>
      <c r="C4" s="96"/>
      <c r="D4" s="93"/>
      <c r="E4" s="92"/>
      <c r="F4" s="94"/>
      <c r="G4" s="95"/>
      <c r="H4" s="95"/>
      <c r="I4" s="95"/>
      <c r="J4" s="96"/>
      <c r="K4" s="96"/>
      <c r="L4" s="96"/>
      <c r="M4" s="96"/>
    </row>
    <row r="5" spans="1:13" ht="66.75" customHeight="1">
      <c r="A5" s="52" t="s">
        <v>633</v>
      </c>
      <c r="B5" s="97"/>
      <c r="C5" s="17" t="s">
        <v>634</v>
      </c>
      <c r="D5" s="54" t="s">
        <v>635</v>
      </c>
      <c r="E5" s="54" t="s">
        <v>636</v>
      </c>
      <c r="F5" s="54" t="s">
        <v>637</v>
      </c>
    </row>
    <row r="6" spans="1:13" ht="21.75" customHeight="1">
      <c r="A6" s="55" t="s">
        <v>638</v>
      </c>
      <c r="C6" s="22">
        <v>1611</v>
      </c>
      <c r="D6" s="20">
        <v>71</v>
      </c>
      <c r="E6" s="58">
        <f>+D6/C6</f>
        <v>4.4072004965859717E-2</v>
      </c>
      <c r="F6" s="58">
        <v>0.67</v>
      </c>
    </row>
    <row r="7" spans="1:13" ht="21.75" customHeight="1">
      <c r="A7" s="55" t="s">
        <v>590</v>
      </c>
      <c r="C7" s="22">
        <v>791</v>
      </c>
      <c r="D7" s="20">
        <v>56</v>
      </c>
      <c r="E7" s="58">
        <f>+D7/C7</f>
        <v>7.0796460176991149E-2</v>
      </c>
      <c r="F7" s="58">
        <v>0.66</v>
      </c>
    </row>
    <row r="8" spans="1:13" ht="21.75" customHeight="1">
      <c r="A8" s="55" t="s">
        <v>639</v>
      </c>
      <c r="C8" s="22">
        <v>733</v>
      </c>
      <c r="D8" s="20">
        <v>59</v>
      </c>
      <c r="E8" s="58">
        <f>+D8/C8</f>
        <v>8.0491132332878579E-2</v>
      </c>
      <c r="F8" s="58">
        <v>0.93</v>
      </c>
    </row>
    <row r="9" spans="1:13" ht="21.75" customHeight="1">
      <c r="A9" s="59" t="s">
        <v>640</v>
      </c>
      <c r="C9" s="60">
        <v>817</v>
      </c>
      <c r="D9" s="26">
        <v>49</v>
      </c>
      <c r="E9" s="61">
        <f>+D9/C9</f>
        <v>5.9975520195838433E-2</v>
      </c>
      <c r="F9" s="61">
        <v>0.82</v>
      </c>
    </row>
    <row r="10" spans="1:13" ht="21.75" customHeight="1">
      <c r="A10" s="62" t="s">
        <v>609</v>
      </c>
      <c r="B10" s="98"/>
      <c r="C10" s="63">
        <f>SUM(C6:C9)</f>
        <v>3952</v>
      </c>
      <c r="D10" s="64">
        <f>SUM(D6:D9)</f>
        <v>235</v>
      </c>
      <c r="E10" s="65">
        <f>+D10/C10</f>
        <v>5.9463562753036436E-2</v>
      </c>
      <c r="F10" s="65">
        <f>AVERAGE(F6:F9)</f>
        <v>0.77</v>
      </c>
    </row>
    <row r="11" spans="1:13" ht="21.75" customHeight="1">
      <c r="A11" s="96"/>
      <c r="B11" s="96"/>
      <c r="C11" s="96"/>
      <c r="D11" s="96"/>
      <c r="E11" s="96"/>
      <c r="F11" s="96"/>
    </row>
    <row r="12" spans="1:13" ht="21.75" customHeight="1">
      <c r="A12" s="66" t="s">
        <v>641</v>
      </c>
      <c r="B12" s="67">
        <v>2023</v>
      </c>
      <c r="C12" s="68">
        <v>2022</v>
      </c>
      <c r="D12" s="68">
        <v>2021</v>
      </c>
      <c r="E12" s="68">
        <v>2020</v>
      </c>
      <c r="F12" s="68">
        <v>2019</v>
      </c>
      <c r="G12" s="68">
        <v>2018</v>
      </c>
    </row>
    <row r="13" spans="1:13" ht="20.75" customHeight="1">
      <c r="A13" s="27" t="s">
        <v>642</v>
      </c>
      <c r="B13" s="99"/>
      <c r="C13" s="100"/>
      <c r="D13" s="100"/>
      <c r="E13" s="100"/>
      <c r="F13" s="100"/>
      <c r="G13" s="100"/>
    </row>
    <row r="14" spans="1:13" ht="21.75" customHeight="1">
      <c r="A14" s="19" t="s">
        <v>643</v>
      </c>
      <c r="B14" s="69">
        <v>30.018731192635901</v>
      </c>
      <c r="C14" s="69">
        <v>27</v>
      </c>
      <c r="D14" s="70">
        <v>25</v>
      </c>
      <c r="E14" s="70">
        <v>23</v>
      </c>
      <c r="F14" s="70">
        <v>21</v>
      </c>
      <c r="G14" s="70">
        <v>24</v>
      </c>
    </row>
    <row r="15" spans="1:13" ht="21.75" customHeight="1">
      <c r="A15" s="25" t="s">
        <v>644</v>
      </c>
      <c r="B15" s="36">
        <v>24</v>
      </c>
      <c r="C15" s="71">
        <v>21.5</v>
      </c>
      <c r="D15" s="26">
        <v>22</v>
      </c>
      <c r="E15" s="26">
        <v>21</v>
      </c>
      <c r="F15" s="26">
        <v>24</v>
      </c>
      <c r="G15" s="26">
        <v>18</v>
      </c>
    </row>
    <row r="16" spans="1:13" ht="21.75" customHeight="1">
      <c r="A16" s="27" t="s">
        <v>604</v>
      </c>
      <c r="B16" s="28"/>
      <c r="C16" s="100"/>
      <c r="D16" s="100"/>
      <c r="E16" s="100"/>
      <c r="F16" s="100"/>
      <c r="G16" s="100"/>
    </row>
    <row r="17" spans="1:14" ht="21.75" customHeight="1">
      <c r="A17" s="19" t="s">
        <v>643</v>
      </c>
      <c r="B17" s="72">
        <v>23.4</v>
      </c>
      <c r="C17" s="69">
        <v>20</v>
      </c>
      <c r="D17" s="70">
        <v>23</v>
      </c>
      <c r="E17" s="70">
        <v>24</v>
      </c>
      <c r="F17" s="70">
        <v>28</v>
      </c>
      <c r="G17" s="70">
        <v>29</v>
      </c>
    </row>
    <row r="18" spans="1:14" ht="21.75" customHeight="1">
      <c r="A18" s="73" t="s">
        <v>644</v>
      </c>
      <c r="B18" s="74">
        <v>25</v>
      </c>
      <c r="C18" s="74">
        <v>20</v>
      </c>
      <c r="D18" s="75">
        <v>25</v>
      </c>
      <c r="E18" s="75">
        <v>25</v>
      </c>
      <c r="F18" s="75">
        <v>31</v>
      </c>
      <c r="G18" s="75">
        <v>20</v>
      </c>
    </row>
    <row r="19" spans="1:14" ht="21.75" customHeight="1">
      <c r="A19" s="76" t="s">
        <v>645</v>
      </c>
      <c r="B19" s="101"/>
      <c r="C19" s="102"/>
      <c r="D19" s="102"/>
      <c r="E19" s="102"/>
      <c r="F19" s="102"/>
      <c r="G19" s="102"/>
    </row>
    <row r="20" spans="1:14" ht="21.75" customHeight="1">
      <c r="A20" s="19" t="s">
        <v>643</v>
      </c>
      <c r="B20" s="77">
        <v>56</v>
      </c>
      <c r="C20" s="69">
        <v>42</v>
      </c>
      <c r="D20" s="70">
        <v>45</v>
      </c>
      <c r="E20" s="70">
        <v>42</v>
      </c>
      <c r="F20" s="70">
        <v>56</v>
      </c>
      <c r="G20" s="70">
        <v>16</v>
      </c>
    </row>
    <row r="21" spans="1:14" ht="21.75" customHeight="1">
      <c r="A21" s="25" t="s">
        <v>644</v>
      </c>
      <c r="B21" s="71">
        <v>42.6</v>
      </c>
      <c r="C21" s="36">
        <v>37</v>
      </c>
      <c r="D21" s="26">
        <v>37</v>
      </c>
      <c r="E21" s="26">
        <v>36</v>
      </c>
      <c r="F21" s="26">
        <v>25</v>
      </c>
      <c r="G21" s="26">
        <v>15</v>
      </c>
    </row>
    <row r="22" spans="1:14" ht="21.75" customHeight="1">
      <c r="A22" s="27" t="s">
        <v>640</v>
      </c>
      <c r="B22" s="28"/>
      <c r="C22" s="100"/>
      <c r="D22" s="100"/>
      <c r="E22" s="100"/>
      <c r="F22" s="100"/>
      <c r="G22" s="100"/>
    </row>
    <row r="23" spans="1:14" ht="21.75" customHeight="1">
      <c r="A23" s="19" t="s">
        <v>643</v>
      </c>
      <c r="B23" s="72">
        <v>12.7</v>
      </c>
      <c r="C23" s="69">
        <v>13</v>
      </c>
      <c r="D23" s="70">
        <v>15</v>
      </c>
      <c r="E23" s="70">
        <v>14</v>
      </c>
      <c r="F23" s="70">
        <v>15</v>
      </c>
      <c r="G23" s="70">
        <v>16</v>
      </c>
    </row>
    <row r="24" spans="1:14" ht="21.75" customHeight="1">
      <c r="A24" s="73" t="s">
        <v>644</v>
      </c>
      <c r="B24" s="74">
        <v>12</v>
      </c>
      <c r="C24" s="74">
        <v>13</v>
      </c>
      <c r="D24" s="75">
        <v>13</v>
      </c>
      <c r="E24" s="75">
        <v>13</v>
      </c>
      <c r="F24" s="75">
        <v>13</v>
      </c>
      <c r="G24" s="75">
        <v>9</v>
      </c>
    </row>
    <row r="25" spans="1:14" ht="21.75" customHeight="1">
      <c r="A25" s="78" t="s">
        <v>646</v>
      </c>
      <c r="B25" s="103"/>
      <c r="C25" s="103"/>
      <c r="D25" s="103"/>
      <c r="E25" s="103"/>
      <c r="F25" s="103"/>
      <c r="G25" s="103"/>
    </row>
    <row r="26" spans="1:14" ht="21.75" customHeight="1"/>
    <row r="27" spans="1:14" ht="21.75" customHeight="1"/>
    <row r="28" spans="1:14" ht="21.75" customHeight="1">
      <c r="A28" s="32" t="s">
        <v>647</v>
      </c>
      <c r="B28" s="32"/>
      <c r="C28" s="32"/>
      <c r="D28" s="32"/>
      <c r="E28" s="32"/>
      <c r="F28" s="32"/>
      <c r="G28" s="32"/>
      <c r="H28" s="32"/>
      <c r="I28" s="32"/>
      <c r="J28" s="32"/>
    </row>
    <row r="29" spans="1:14" ht="26.75" customHeight="1">
      <c r="A29" s="741" t="s">
        <v>648</v>
      </c>
      <c r="B29" s="685"/>
      <c r="C29" s="685"/>
      <c r="D29" s="685"/>
      <c r="E29" s="685"/>
      <c r="F29" s="685"/>
      <c r="G29" s="685"/>
      <c r="H29" s="741"/>
      <c r="I29" s="21"/>
      <c r="J29" s="21"/>
      <c r="K29" s="21"/>
      <c r="L29" s="21"/>
      <c r="M29" s="21"/>
      <c r="N29" s="21"/>
    </row>
    <row r="30" spans="1:14" ht="21.75" customHeight="1">
      <c r="A30" s="21" t="s">
        <v>649</v>
      </c>
    </row>
    <row r="31" spans="1:14" ht="21.75" customHeight="1">
      <c r="A31" s="32" t="s">
        <v>650</v>
      </c>
      <c r="B31" s="32"/>
      <c r="C31" s="32"/>
      <c r="D31" s="32"/>
      <c r="E31" s="32"/>
      <c r="F31" s="32"/>
      <c r="G31" s="32"/>
      <c r="H31" s="32"/>
      <c r="I31" s="32"/>
      <c r="J31" s="32"/>
      <c r="K31" s="32"/>
      <c r="L31" s="32"/>
      <c r="M31" s="32"/>
    </row>
    <row r="32" spans="1:14" ht="21.75" customHeight="1">
      <c r="A32" s="66" t="s">
        <v>651</v>
      </c>
      <c r="B32" s="68">
        <v>2023</v>
      </c>
      <c r="C32" s="79" t="s">
        <v>652</v>
      </c>
      <c r="D32" s="68">
        <v>2022</v>
      </c>
      <c r="E32" s="79" t="s">
        <v>652</v>
      </c>
      <c r="F32" s="68">
        <v>2021</v>
      </c>
      <c r="G32" s="79" t="s">
        <v>653</v>
      </c>
      <c r="H32" s="68">
        <v>2020</v>
      </c>
      <c r="I32" s="79" t="s">
        <v>653</v>
      </c>
      <c r="J32" s="68">
        <v>2019</v>
      </c>
      <c r="K32" s="79" t="s">
        <v>653</v>
      </c>
      <c r="L32" s="68">
        <v>2018</v>
      </c>
      <c r="M32" s="79" t="s">
        <v>652</v>
      </c>
    </row>
    <row r="33" spans="1:13" ht="21.75" customHeight="1">
      <c r="A33" s="27" t="s">
        <v>589</v>
      </c>
      <c r="B33" s="99"/>
      <c r="C33" s="99"/>
      <c r="D33" s="100"/>
      <c r="E33" s="100"/>
      <c r="F33" s="100"/>
      <c r="G33" s="100"/>
      <c r="H33" s="100"/>
      <c r="I33" s="100"/>
      <c r="J33" s="100"/>
      <c r="K33" s="100"/>
      <c r="L33" s="100"/>
      <c r="M33" s="100"/>
    </row>
    <row r="34" spans="1:13" ht="21.75" customHeight="1">
      <c r="A34" s="19" t="s">
        <v>643</v>
      </c>
      <c r="B34" s="80">
        <v>1.4200000000000001E-2</v>
      </c>
      <c r="C34" s="72">
        <v>12.2</v>
      </c>
      <c r="D34" s="81">
        <v>3.0000000000000001E-3</v>
      </c>
      <c r="E34" s="72">
        <v>4.8</v>
      </c>
      <c r="F34" s="82">
        <v>1.0999999999999999E-2</v>
      </c>
      <c r="G34" s="72">
        <v>11.4</v>
      </c>
      <c r="H34" s="82">
        <v>1.9199999999999998E-2</v>
      </c>
      <c r="I34" s="83">
        <v>15.84</v>
      </c>
      <c r="J34" s="82">
        <v>1.7500000000000002E-2</v>
      </c>
      <c r="K34" s="72">
        <v>12.6</v>
      </c>
      <c r="L34" s="82">
        <v>1.7999999999999999E-2</v>
      </c>
      <c r="M34" s="83">
        <v>14</v>
      </c>
    </row>
    <row r="35" spans="1:13" ht="21.75" customHeight="1">
      <c r="A35" s="73" t="s">
        <v>644</v>
      </c>
      <c r="B35" s="606">
        <v>0.01</v>
      </c>
      <c r="D35" s="84">
        <v>6.0000000000000001E-3</v>
      </c>
      <c r="F35" s="85">
        <v>0.02</v>
      </c>
      <c r="H35" s="85">
        <v>0.02</v>
      </c>
      <c r="J35" s="86" t="s">
        <v>654</v>
      </c>
      <c r="L35" s="86" t="s">
        <v>654</v>
      </c>
    </row>
    <row r="36" spans="1:13" ht="21.75" customHeight="1">
      <c r="A36" s="76" t="s">
        <v>604</v>
      </c>
      <c r="B36" s="104"/>
      <c r="C36" s="104"/>
      <c r="D36" s="102"/>
      <c r="E36" s="102"/>
      <c r="F36" s="102"/>
      <c r="G36" s="102"/>
      <c r="H36" s="102"/>
      <c r="I36" s="102"/>
      <c r="J36" s="102"/>
      <c r="K36" s="102"/>
      <c r="L36" s="102"/>
      <c r="M36" s="102"/>
    </row>
    <row r="37" spans="1:13" ht="21.75" customHeight="1">
      <c r="A37" s="19" t="s">
        <v>643</v>
      </c>
      <c r="B37" s="80">
        <v>2.7699999999999999E-2</v>
      </c>
      <c r="C37" s="69">
        <v>12</v>
      </c>
      <c r="D37" s="81">
        <v>1.7000000000000001E-2</v>
      </c>
      <c r="E37" s="69">
        <v>7</v>
      </c>
      <c r="F37" s="82">
        <v>5.0000000000000001E-3</v>
      </c>
      <c r="G37" s="72">
        <v>2.0299999999999998</v>
      </c>
      <c r="H37" s="82">
        <v>1.6199999999999999E-2</v>
      </c>
      <c r="I37" s="72">
        <v>2.2000000000000002</v>
      </c>
      <c r="J37" s="82">
        <v>3.9E-2</v>
      </c>
      <c r="K37" s="72">
        <v>5.3</v>
      </c>
      <c r="L37" s="82">
        <v>2.1000000000000001E-2</v>
      </c>
      <c r="M37" s="83">
        <v>3</v>
      </c>
    </row>
    <row r="38" spans="1:13" ht="21.75" customHeight="1">
      <c r="A38" s="25" t="s">
        <v>644</v>
      </c>
      <c r="B38" s="622">
        <v>0.01</v>
      </c>
      <c r="D38" s="88">
        <v>0.01</v>
      </c>
      <c r="F38" s="89">
        <v>0.01</v>
      </c>
      <c r="H38" s="89">
        <v>0.02</v>
      </c>
      <c r="J38" s="90" t="s">
        <v>655</v>
      </c>
      <c r="L38" s="90" t="s">
        <v>655</v>
      </c>
    </row>
    <row r="39" spans="1:13" ht="21.75" customHeight="1">
      <c r="A39" s="27" t="s">
        <v>645</v>
      </c>
      <c r="B39" s="99"/>
      <c r="C39" s="99"/>
      <c r="D39" s="100"/>
      <c r="E39" s="100"/>
      <c r="F39" s="100"/>
      <c r="G39" s="100"/>
      <c r="H39" s="100"/>
      <c r="I39" s="100"/>
      <c r="J39" s="100"/>
      <c r="K39" s="100"/>
      <c r="L39" s="100"/>
      <c r="M39" s="100"/>
    </row>
    <row r="40" spans="1:13" ht="21.75" customHeight="1">
      <c r="A40" s="19" t="s">
        <v>643</v>
      </c>
      <c r="B40" s="81">
        <v>2.5000000000000001E-2</v>
      </c>
      <c r="C40" s="72">
        <v>6.3</v>
      </c>
      <c r="D40" s="81">
        <v>1.7999999999999999E-2</v>
      </c>
      <c r="E40" s="69">
        <v>5</v>
      </c>
      <c r="F40" s="82">
        <v>1.6E-2</v>
      </c>
      <c r="G40" s="69">
        <v>4</v>
      </c>
      <c r="H40" s="82">
        <v>3.5000000000000003E-2</v>
      </c>
      <c r="I40" s="69">
        <v>12</v>
      </c>
      <c r="J40" s="82">
        <v>0.02</v>
      </c>
      <c r="K40" s="72">
        <v>6.5</v>
      </c>
      <c r="L40" s="82">
        <v>2.5000000000000001E-2</v>
      </c>
      <c r="M40" s="83">
        <v>13.4</v>
      </c>
    </row>
    <row r="41" spans="1:13" ht="21.75" customHeight="1">
      <c r="A41" s="25" t="s">
        <v>644</v>
      </c>
      <c r="B41" s="622">
        <v>0.02</v>
      </c>
      <c r="D41" s="88">
        <v>0.02</v>
      </c>
      <c r="F41" s="90" t="s">
        <v>656</v>
      </c>
      <c r="H41" s="90" t="s">
        <v>656</v>
      </c>
      <c r="J41" s="90" t="s">
        <v>657</v>
      </c>
      <c r="L41" s="90" t="s">
        <v>655</v>
      </c>
    </row>
    <row r="42" spans="1:13" ht="21.75" customHeight="1">
      <c r="A42" s="27" t="s">
        <v>640</v>
      </c>
      <c r="B42" s="99"/>
      <c r="C42" s="99"/>
      <c r="D42" s="100"/>
      <c r="E42" s="100"/>
      <c r="F42" s="100"/>
      <c r="G42" s="100"/>
      <c r="H42" s="100"/>
      <c r="I42" s="100"/>
      <c r="J42" s="100"/>
      <c r="K42" s="100"/>
      <c r="L42" s="100"/>
      <c r="M42" s="100"/>
    </row>
    <row r="43" spans="1:13" ht="21.75" customHeight="1">
      <c r="A43" s="19" t="s">
        <v>643</v>
      </c>
      <c r="B43" s="80">
        <v>1.0999999999999999E-2</v>
      </c>
      <c r="C43" s="72">
        <v>3.03</v>
      </c>
      <c r="D43" s="81">
        <v>8.9999999999999993E-3</v>
      </c>
      <c r="E43" s="72">
        <v>2.2999999999999998</v>
      </c>
      <c r="F43" s="82">
        <v>7.1999999999999998E-3</v>
      </c>
      <c r="G43" s="72">
        <v>1.8</v>
      </c>
      <c r="H43" s="82">
        <v>5.0000000000000001E-3</v>
      </c>
      <c r="I43" s="72">
        <v>1.2</v>
      </c>
      <c r="J43" s="82">
        <v>1.43E-2</v>
      </c>
      <c r="K43" s="72">
        <v>3.4</v>
      </c>
      <c r="L43" s="82">
        <v>1.7000000000000001E-2</v>
      </c>
      <c r="M43" s="83">
        <v>4</v>
      </c>
    </row>
    <row r="44" spans="1:13" ht="21.75" customHeight="1">
      <c r="A44" s="73" t="s">
        <v>644</v>
      </c>
      <c r="B44" s="91">
        <v>0.01</v>
      </c>
      <c r="D44" s="84">
        <v>0.01</v>
      </c>
      <c r="F44" s="85">
        <v>0.01</v>
      </c>
      <c r="H44" s="85">
        <v>0.01</v>
      </c>
      <c r="J44" s="85">
        <v>1.4999999999999999E-2</v>
      </c>
      <c r="L44" s="86" t="s">
        <v>658</v>
      </c>
    </row>
    <row r="45" spans="1:13" ht="21.75" customHeight="1">
      <c r="A45" s="103"/>
      <c r="B45" s="103"/>
      <c r="C45" s="105"/>
      <c r="D45" s="105"/>
      <c r="E45" s="105"/>
      <c r="F45" s="105"/>
      <c r="G45" s="105"/>
      <c r="H45" s="105"/>
      <c r="I45" s="105"/>
      <c r="J45" s="105"/>
      <c r="K45" s="103"/>
      <c r="L45" s="103"/>
      <c r="M45" s="103"/>
    </row>
    <row r="46" spans="1:13" ht="21.75" customHeight="1"/>
    <row r="47" spans="1:13" ht="29.25" customHeight="1">
      <c r="A47" s="32" t="s">
        <v>659</v>
      </c>
      <c r="B47" s="32"/>
      <c r="C47" s="32"/>
      <c r="D47" s="32"/>
      <c r="E47" s="32"/>
      <c r="F47" s="32"/>
      <c r="G47" s="32"/>
      <c r="H47" s="32"/>
      <c r="I47" s="32"/>
      <c r="J47" s="32"/>
    </row>
    <row r="48" spans="1:13" ht="27.5" customHeight="1">
      <c r="A48" s="741" t="s">
        <v>660</v>
      </c>
      <c r="B48" s="685"/>
      <c r="C48" s="685"/>
      <c r="D48" s="685"/>
    </row>
    <row r="49" spans="1:14" ht="21.75" customHeight="1"/>
    <row r="50" spans="1:14" ht="21.75" customHeight="1"/>
    <row r="51" spans="1:14" ht="21.75" customHeight="1"/>
    <row r="52" spans="1:14" ht="21.75" customHeight="1"/>
    <row r="53" spans="1:14" ht="21.75" customHeight="1"/>
    <row r="54" spans="1:14" ht="21.75" customHeight="1"/>
    <row r="55" spans="1:14" ht="21.75" customHeight="1"/>
    <row r="56" spans="1:14" ht="21.75" customHeight="1"/>
    <row r="57" spans="1:14" ht="21.75" customHeight="1"/>
    <row r="58" spans="1:14" ht="21.75" customHeight="1"/>
    <row r="59" spans="1:14" ht="21.75" customHeight="1">
      <c r="A59" s="106"/>
      <c r="B59" s="106"/>
      <c r="C59" s="106"/>
      <c r="D59" s="106"/>
      <c r="E59" s="106"/>
      <c r="F59" s="106"/>
      <c r="G59" s="106"/>
      <c r="H59" s="106"/>
      <c r="I59" s="106"/>
      <c r="J59" s="106"/>
      <c r="K59" s="106"/>
      <c r="L59" s="106"/>
      <c r="M59" s="106"/>
      <c r="N59" s="106"/>
    </row>
    <row r="60" spans="1:14" ht="21.75" customHeight="1"/>
    <row r="61" spans="1:14" ht="21.75" customHeight="1"/>
    <row r="62" spans="1:14" ht="21.75" customHeight="1"/>
    <row r="63" spans="1:14" ht="21.75" customHeight="1"/>
    <row r="64" spans="1:14" ht="21.75" customHeight="1"/>
    <row r="65" ht="21.75" customHeight="1"/>
  </sheetData>
  <sheetProtection algorithmName="SHA-512" hashValue="UQriFJbPhxWjx5g1/ovnIViop+GTSDSj/TXryJTrvYctNEZvmMPrE1BR2yCO6z8q1nvTW4PdlL8WNHmk8k6FLQ==" saltValue="pc0vcGdUbQvTIwM5K27y6A==" spinCount="100000" sheet="1" objects="1" scenarios="1"/>
  <mergeCells count="2">
    <mergeCell ref="A29:H29"/>
    <mergeCell ref="A48:D48"/>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50"/>
  <sheetViews>
    <sheetView showGridLines="0" showRuler="0" workbookViewId="0"/>
  </sheetViews>
  <sheetFormatPr baseColWidth="10" defaultColWidth="12.83203125" defaultRowHeight="13"/>
  <cols>
    <col min="1" max="1" width="55.1640625" customWidth="1"/>
    <col min="2" max="2" width="15.6640625" customWidth="1"/>
    <col min="3" max="3" width="17.33203125" customWidth="1"/>
    <col min="4" max="16" width="14.33203125" customWidth="1"/>
    <col min="17" max="17" width="18" customWidth="1"/>
    <col min="18" max="22" width="9" customWidth="1"/>
  </cols>
  <sheetData>
    <row r="1" spans="1:22" ht="21.75" customHeight="1">
      <c r="A1" s="32" t="s">
        <v>661</v>
      </c>
      <c r="B1" s="33">
        <v>2023</v>
      </c>
      <c r="C1" s="33">
        <v>2022</v>
      </c>
      <c r="D1" s="33">
        <v>2021</v>
      </c>
      <c r="E1" s="33">
        <v>2020</v>
      </c>
      <c r="F1" s="33">
        <v>2019</v>
      </c>
      <c r="G1" s="33">
        <v>2023</v>
      </c>
      <c r="H1" s="33">
        <v>2022</v>
      </c>
      <c r="I1" s="33">
        <v>2021</v>
      </c>
      <c r="J1" s="33">
        <v>2020</v>
      </c>
      <c r="K1" s="33">
        <v>2019</v>
      </c>
      <c r="L1" s="33">
        <v>2023</v>
      </c>
      <c r="M1" s="33">
        <v>2022</v>
      </c>
      <c r="N1" s="33">
        <v>2021</v>
      </c>
      <c r="O1" s="33">
        <v>2020</v>
      </c>
      <c r="P1" s="33">
        <v>2019</v>
      </c>
      <c r="Q1" s="43"/>
      <c r="R1" s="106"/>
      <c r="S1" s="43"/>
      <c r="T1" s="43"/>
      <c r="U1" s="43"/>
      <c r="V1" s="43"/>
    </row>
    <row r="2" spans="1:22" ht="21.75" customHeight="1">
      <c r="A2" s="32" t="s">
        <v>662</v>
      </c>
      <c r="B2" s="742" t="s">
        <v>663</v>
      </c>
      <c r="C2" s="742"/>
      <c r="D2" s="742"/>
      <c r="E2" s="742"/>
      <c r="F2" s="742"/>
      <c r="G2" s="742" t="s">
        <v>664</v>
      </c>
      <c r="H2" s="742"/>
      <c r="I2" s="742"/>
      <c r="J2" s="742"/>
      <c r="K2" s="742"/>
      <c r="L2" s="742" t="s">
        <v>665</v>
      </c>
      <c r="M2" s="742"/>
      <c r="N2" s="742"/>
      <c r="O2" s="742"/>
      <c r="P2" s="742"/>
      <c r="Q2" s="43"/>
      <c r="R2" s="43"/>
      <c r="S2" s="43"/>
      <c r="T2" s="43"/>
      <c r="U2" s="43"/>
      <c r="V2" s="43"/>
    </row>
    <row r="3" spans="1:22" ht="21.75" customHeight="1">
      <c r="A3" s="21" t="s">
        <v>583</v>
      </c>
      <c r="B3" s="107">
        <v>100</v>
      </c>
      <c r="C3" s="108">
        <v>100</v>
      </c>
      <c r="D3" s="34">
        <v>100</v>
      </c>
      <c r="E3" s="34">
        <v>100</v>
      </c>
      <c r="F3" s="34">
        <v>100</v>
      </c>
      <c r="G3" s="107">
        <v>99</v>
      </c>
      <c r="H3" s="109">
        <v>100</v>
      </c>
      <c r="I3" s="34">
        <v>100</v>
      </c>
      <c r="J3" s="34">
        <v>100</v>
      </c>
      <c r="K3" s="34">
        <v>100</v>
      </c>
      <c r="L3" s="107">
        <v>90</v>
      </c>
      <c r="M3" s="20">
        <v>90</v>
      </c>
      <c r="N3" s="34">
        <v>90</v>
      </c>
      <c r="O3" s="34">
        <v>94</v>
      </c>
      <c r="P3" s="34">
        <v>69</v>
      </c>
    </row>
    <row r="4" spans="1:22" ht="21.75" customHeight="1">
      <c r="A4" s="21" t="s">
        <v>666</v>
      </c>
      <c r="B4" s="107">
        <v>100</v>
      </c>
      <c r="C4" s="108">
        <v>100</v>
      </c>
      <c r="D4" s="34">
        <v>100</v>
      </c>
      <c r="E4" s="34">
        <v>100</v>
      </c>
      <c r="F4" s="34">
        <v>100</v>
      </c>
      <c r="G4" s="107">
        <v>90</v>
      </c>
      <c r="H4" s="109">
        <v>90</v>
      </c>
      <c r="I4" s="34">
        <v>86</v>
      </c>
      <c r="J4" s="34">
        <v>86</v>
      </c>
      <c r="K4" s="34">
        <v>77</v>
      </c>
      <c r="L4" s="107">
        <v>35</v>
      </c>
      <c r="M4" s="34">
        <v>44</v>
      </c>
      <c r="N4" s="34">
        <v>35</v>
      </c>
      <c r="O4" s="34">
        <v>34</v>
      </c>
      <c r="P4" s="34">
        <v>33</v>
      </c>
    </row>
    <row r="5" spans="1:22" ht="21.75" customHeight="1">
      <c r="A5" s="21" t="s">
        <v>667</v>
      </c>
      <c r="B5" s="107">
        <v>100</v>
      </c>
      <c r="C5" s="108">
        <v>100</v>
      </c>
      <c r="D5" s="34">
        <v>100</v>
      </c>
      <c r="E5" s="34">
        <v>100</v>
      </c>
      <c r="F5" s="34">
        <v>100</v>
      </c>
      <c r="G5" s="107">
        <v>100</v>
      </c>
      <c r="H5" s="109">
        <v>100</v>
      </c>
      <c r="I5" s="34">
        <v>100</v>
      </c>
      <c r="J5" s="34">
        <v>100</v>
      </c>
      <c r="K5" s="34">
        <v>100</v>
      </c>
      <c r="L5" s="107">
        <v>100</v>
      </c>
      <c r="M5" s="34">
        <v>100</v>
      </c>
      <c r="N5" s="34">
        <v>100</v>
      </c>
      <c r="O5" s="34">
        <v>100</v>
      </c>
      <c r="P5" s="34">
        <v>100</v>
      </c>
    </row>
    <row r="6" spans="1:22" ht="21.75" customHeight="1">
      <c r="A6" s="110" t="s">
        <v>668</v>
      </c>
      <c r="B6" s="111">
        <v>50</v>
      </c>
      <c r="C6" s="112">
        <v>50</v>
      </c>
      <c r="D6" s="113">
        <v>50</v>
      </c>
      <c r="E6" s="113">
        <v>50</v>
      </c>
      <c r="F6" s="113">
        <v>50</v>
      </c>
      <c r="G6" s="111">
        <v>50</v>
      </c>
      <c r="H6" s="114">
        <v>50</v>
      </c>
      <c r="I6" s="113">
        <v>50</v>
      </c>
      <c r="J6" s="113">
        <v>50</v>
      </c>
      <c r="K6" s="113">
        <v>50</v>
      </c>
      <c r="L6" s="111">
        <v>50</v>
      </c>
      <c r="M6" s="113">
        <v>50</v>
      </c>
      <c r="N6" s="113">
        <v>50</v>
      </c>
      <c r="O6" s="113">
        <v>50</v>
      </c>
      <c r="P6" s="113">
        <v>50</v>
      </c>
    </row>
    <row r="7" spans="1:22" ht="26.75" customHeight="1">
      <c r="A7" s="738" t="s">
        <v>669</v>
      </c>
      <c r="B7" s="738"/>
      <c r="C7" s="738"/>
      <c r="D7" s="738"/>
      <c r="E7" s="738"/>
      <c r="F7" s="738"/>
      <c r="G7" s="19"/>
      <c r="H7" s="19"/>
      <c r="I7" s="19"/>
      <c r="J7" s="19"/>
      <c r="K7" s="19"/>
      <c r="L7" s="19"/>
      <c r="M7" s="19"/>
      <c r="N7" s="19"/>
      <c r="O7" s="115"/>
      <c r="P7" s="115"/>
      <c r="R7" s="43"/>
      <c r="S7" s="43"/>
      <c r="T7" s="43"/>
      <c r="U7" s="43"/>
      <c r="V7" s="43"/>
    </row>
    <row r="8" spans="1:22" ht="21.75" customHeight="1">
      <c r="A8" s="43"/>
      <c r="B8" s="43"/>
      <c r="C8" s="43"/>
      <c r="D8" s="43"/>
      <c r="E8" s="43"/>
      <c r="F8" s="43"/>
      <c r="G8" s="43"/>
      <c r="J8" s="43"/>
      <c r="K8" s="43"/>
      <c r="L8" s="43"/>
      <c r="O8" s="43"/>
      <c r="P8" s="43"/>
      <c r="Q8" s="43"/>
      <c r="R8" s="43"/>
      <c r="S8" s="43"/>
      <c r="T8" s="43"/>
      <c r="U8" s="43"/>
      <c r="V8" s="43"/>
    </row>
    <row r="9" spans="1:22" ht="21.75" customHeight="1"/>
    <row r="10" spans="1:22" ht="21.75" customHeight="1">
      <c r="Q10" s="43"/>
    </row>
    <row r="11" spans="1:22" ht="21.75" customHeight="1"/>
    <row r="12" spans="1:22" ht="21.75" customHeight="1"/>
    <row r="13" spans="1:22" ht="21.75" customHeight="1"/>
    <row r="14" spans="1:22" ht="21.75" customHeight="1"/>
    <row r="15" spans="1:22" ht="21.75" customHeight="1"/>
    <row r="16" spans="1:22" ht="21.75" customHeight="1"/>
    <row r="17" ht="21.75" customHeight="1"/>
    <row r="18" ht="21.75" customHeight="1"/>
    <row r="19" ht="21.75" customHeight="1"/>
    <row r="20" ht="21.75" customHeight="1"/>
    <row r="21" ht="21.75" customHeight="1"/>
    <row r="22" ht="21.75" customHeight="1"/>
    <row r="23" ht="21.75" customHeight="1"/>
    <row r="24" ht="21.75" customHeight="1"/>
    <row r="25" ht="21.75" customHeight="1"/>
    <row r="26" ht="21.75" customHeight="1"/>
    <row r="27" ht="21.75" customHeight="1"/>
    <row r="28" ht="21.75" customHeight="1"/>
    <row r="29" ht="21.75" customHeight="1"/>
    <row r="30" ht="21.75" customHeight="1"/>
    <row r="31" ht="21.7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sheetProtection algorithmName="SHA-512" hashValue="bmp3D+tmxdmlMrQh8Gg/e096Q6QbyFj3Hd48FgkqUikfegU2lQE4NGMjpbB4Dj0T0zhw+i4MP19hxfclgiBijA==" saltValue="cdbOwyjHlLkB/qYx0EiCpA==" spinCount="100000" sheet="1" objects="1" scenarios="1"/>
  <mergeCells count="4">
    <mergeCell ref="B2:F2"/>
    <mergeCell ref="A7:F7"/>
    <mergeCell ref="G2:K2"/>
    <mergeCell ref="L2:P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0"/>
  <sheetViews>
    <sheetView showGridLines="0" showRuler="0" workbookViewId="0"/>
  </sheetViews>
  <sheetFormatPr baseColWidth="10" defaultColWidth="12.83203125" defaultRowHeight="13"/>
  <cols>
    <col min="1" max="1" width="47.33203125" customWidth="1"/>
    <col min="2" max="2" width="22.33203125" customWidth="1"/>
    <col min="3" max="3" width="14" customWidth="1"/>
    <col min="4" max="7" width="14.33203125" customWidth="1"/>
    <col min="8" max="9" width="0" hidden="1"/>
  </cols>
  <sheetData>
    <row r="1" spans="1:9" ht="21.75" customHeight="1">
      <c r="A1" s="32" t="s">
        <v>670</v>
      </c>
      <c r="B1" s="32"/>
      <c r="C1" s="32"/>
      <c r="D1" s="130"/>
      <c r="E1" s="130"/>
      <c r="F1" s="130"/>
      <c r="G1" s="130"/>
      <c r="H1" s="130"/>
      <c r="I1" s="130"/>
    </row>
    <row r="2" spans="1:9" ht="21.75" customHeight="1"/>
    <row r="3" spans="1:9" ht="21.75" customHeight="1">
      <c r="A3" s="32" t="s">
        <v>671</v>
      </c>
      <c r="B3" s="33">
        <v>2023</v>
      </c>
      <c r="C3" s="33">
        <v>2022</v>
      </c>
      <c r="D3" s="33">
        <v>2021</v>
      </c>
      <c r="E3" s="33">
        <v>2020</v>
      </c>
      <c r="F3" s="33">
        <v>2019</v>
      </c>
      <c r="G3" s="33">
        <v>2018</v>
      </c>
      <c r="H3" s="33">
        <v>2015</v>
      </c>
      <c r="I3" s="33">
        <v>2014</v>
      </c>
    </row>
    <row r="4" spans="1:9" ht="21.75" customHeight="1">
      <c r="A4" s="21" t="s">
        <v>589</v>
      </c>
      <c r="B4" s="116">
        <v>51.6</v>
      </c>
      <c r="C4" s="116">
        <v>57.5</v>
      </c>
      <c r="D4" s="117">
        <v>54.74</v>
      </c>
      <c r="E4" s="117">
        <v>44.25</v>
      </c>
      <c r="F4" s="117">
        <v>39.32</v>
      </c>
      <c r="G4" s="117">
        <v>26.79</v>
      </c>
    </row>
    <row r="5" spans="1:9" ht="21.75" customHeight="1">
      <c r="A5" s="21" t="s">
        <v>590</v>
      </c>
      <c r="B5" s="116">
        <v>1.9</v>
      </c>
      <c r="C5" s="116">
        <v>1.8</v>
      </c>
      <c r="D5" s="117">
        <v>1.74</v>
      </c>
      <c r="E5" s="117">
        <v>1.21</v>
      </c>
      <c r="F5" s="117">
        <v>1.1499999999999999</v>
      </c>
      <c r="G5" s="117">
        <v>1.03</v>
      </c>
    </row>
    <row r="6" spans="1:9" ht="21.75" customHeight="1">
      <c r="A6" s="21" t="s">
        <v>645</v>
      </c>
      <c r="B6" s="116">
        <v>100.3</v>
      </c>
      <c r="C6" s="116">
        <v>108.9</v>
      </c>
      <c r="D6" s="117">
        <v>115.7</v>
      </c>
      <c r="E6" s="117">
        <v>118.13</v>
      </c>
      <c r="F6" s="117">
        <v>126.62</v>
      </c>
      <c r="G6" s="117">
        <v>135.58000000000001</v>
      </c>
    </row>
    <row r="7" spans="1:9" ht="21.75" customHeight="1">
      <c r="A7" s="21" t="s">
        <v>640</v>
      </c>
      <c r="B7" s="116">
        <v>24.9</v>
      </c>
      <c r="C7" s="116">
        <v>29.4</v>
      </c>
      <c r="D7" s="117">
        <v>28.3</v>
      </c>
      <c r="E7" s="117">
        <v>18.22</v>
      </c>
      <c r="F7" s="117">
        <v>22.34</v>
      </c>
      <c r="G7" s="117">
        <v>21.78</v>
      </c>
    </row>
    <row r="8" spans="1:9" ht="21.75" customHeight="1">
      <c r="A8" s="110" t="s">
        <v>672</v>
      </c>
      <c r="B8" s="118">
        <v>178.7</v>
      </c>
      <c r="C8" s="119">
        <v>197.6</v>
      </c>
      <c r="D8" s="119">
        <v>200.48</v>
      </c>
      <c r="E8" s="119">
        <v>181.8</v>
      </c>
      <c r="F8" s="119">
        <v>189.4</v>
      </c>
      <c r="G8" s="119">
        <v>185.2</v>
      </c>
      <c r="H8" s="119">
        <v>165.57</v>
      </c>
      <c r="I8" s="119">
        <v>143.59</v>
      </c>
    </row>
    <row r="9" spans="1:9" ht="21.75" customHeight="1">
      <c r="A9" s="19"/>
      <c r="B9" s="131"/>
      <c r="C9" s="131"/>
      <c r="D9" s="131"/>
      <c r="E9" s="132"/>
      <c r="F9" s="132"/>
      <c r="G9" s="132"/>
      <c r="H9" s="132"/>
      <c r="I9" s="132"/>
    </row>
    <row r="10" spans="1:9" ht="21.75" customHeight="1">
      <c r="A10" s="32" t="s">
        <v>673</v>
      </c>
      <c r="B10" s="33">
        <v>2023</v>
      </c>
      <c r="C10" s="33">
        <v>2022</v>
      </c>
      <c r="D10" s="33">
        <v>2021</v>
      </c>
      <c r="E10" s="33">
        <v>2020</v>
      </c>
      <c r="F10" s="33">
        <v>2019</v>
      </c>
      <c r="G10" s="33">
        <v>2018</v>
      </c>
      <c r="H10" s="33">
        <v>2015</v>
      </c>
      <c r="I10" s="33">
        <v>2014</v>
      </c>
    </row>
    <row r="11" spans="1:9" ht="21.75" customHeight="1">
      <c r="A11" s="21" t="s">
        <v>589</v>
      </c>
      <c r="B11" s="116">
        <v>16.600000000000001</v>
      </c>
      <c r="C11" s="116">
        <v>15.5</v>
      </c>
      <c r="D11" s="117">
        <v>15.44</v>
      </c>
      <c r="E11" s="117">
        <v>16</v>
      </c>
      <c r="F11" s="117">
        <v>10.73</v>
      </c>
      <c r="G11" s="117">
        <v>7.21</v>
      </c>
    </row>
    <row r="12" spans="1:9" ht="21.75" customHeight="1">
      <c r="A12" s="21" t="s">
        <v>590</v>
      </c>
      <c r="B12" s="35">
        <v>3</v>
      </c>
      <c r="C12" s="35">
        <v>3</v>
      </c>
      <c r="D12" s="117">
        <v>2.92</v>
      </c>
      <c r="E12" s="117">
        <v>2.2599999999999998</v>
      </c>
      <c r="F12" s="117">
        <v>1.67</v>
      </c>
      <c r="G12" s="117">
        <v>1.32</v>
      </c>
    </row>
    <row r="13" spans="1:9" ht="21.75" customHeight="1">
      <c r="A13" s="21" t="s">
        <v>645</v>
      </c>
      <c r="B13" s="116">
        <v>18.899999999999999</v>
      </c>
      <c r="C13" s="116">
        <v>18.8</v>
      </c>
      <c r="D13" s="117">
        <v>18.600000000000001</v>
      </c>
      <c r="E13" s="117">
        <v>19.03</v>
      </c>
      <c r="F13" s="117">
        <v>18.39</v>
      </c>
      <c r="G13" s="117">
        <v>18</v>
      </c>
    </row>
    <row r="14" spans="1:9" ht="21.75" customHeight="1">
      <c r="A14" s="21" t="s">
        <v>640</v>
      </c>
      <c r="B14" s="116">
        <v>6.5</v>
      </c>
      <c r="C14" s="116">
        <v>6.7</v>
      </c>
      <c r="D14" s="117">
        <v>6.81</v>
      </c>
      <c r="E14" s="117">
        <v>6.8</v>
      </c>
      <c r="F14" s="117">
        <v>6.72</v>
      </c>
      <c r="G14" s="117">
        <v>6.64</v>
      </c>
    </row>
    <row r="15" spans="1:9" ht="21.75" customHeight="1">
      <c r="A15" s="110" t="s">
        <v>672</v>
      </c>
      <c r="B15" s="118">
        <v>45</v>
      </c>
      <c r="C15" s="119">
        <v>44</v>
      </c>
      <c r="D15" s="119">
        <v>43.77</v>
      </c>
      <c r="E15" s="119">
        <v>44.09</v>
      </c>
      <c r="F15" s="119">
        <v>37.51</v>
      </c>
      <c r="G15" s="119">
        <v>33.17</v>
      </c>
      <c r="H15" s="119">
        <v>33.01</v>
      </c>
      <c r="I15" s="119">
        <v>33.33</v>
      </c>
    </row>
    <row r="16" spans="1:9" ht="21.75" customHeight="1">
      <c r="A16" s="19"/>
      <c r="B16" s="131"/>
      <c r="C16" s="131"/>
      <c r="D16" s="131"/>
      <c r="E16" s="131"/>
      <c r="F16" s="131"/>
      <c r="G16" s="131"/>
      <c r="H16" s="19"/>
      <c r="I16" s="19"/>
    </row>
    <row r="17" spans="1:9" ht="21.75" customHeight="1">
      <c r="A17" s="32" t="s">
        <v>674</v>
      </c>
      <c r="B17" s="33">
        <v>2023</v>
      </c>
      <c r="C17" s="33">
        <v>2022</v>
      </c>
      <c r="D17" s="33">
        <v>2021</v>
      </c>
      <c r="E17" s="33">
        <v>2020</v>
      </c>
      <c r="F17" s="33">
        <v>2019</v>
      </c>
      <c r="G17" s="33">
        <v>2018</v>
      </c>
      <c r="H17" s="33">
        <v>2015</v>
      </c>
      <c r="I17" s="33">
        <v>2014</v>
      </c>
    </row>
    <row r="18" spans="1:9" ht="21.75" customHeight="1">
      <c r="A18" s="32"/>
      <c r="B18" s="17"/>
      <c r="C18" s="17"/>
      <c r="D18" s="17"/>
      <c r="E18" s="17"/>
      <c r="F18" s="17"/>
      <c r="G18" s="17"/>
      <c r="H18" s="17"/>
      <c r="I18" s="17"/>
    </row>
    <row r="19" spans="1:9" ht="21.75" customHeight="1">
      <c r="A19" s="21" t="s">
        <v>675</v>
      </c>
      <c r="B19" s="35">
        <v>322</v>
      </c>
      <c r="C19" s="35">
        <v>315</v>
      </c>
      <c r="D19" s="20">
        <v>246.529</v>
      </c>
      <c r="E19" s="20">
        <v>258.173</v>
      </c>
      <c r="F19" s="20">
        <v>99.081710000000001</v>
      </c>
      <c r="G19" s="20">
        <v>0</v>
      </c>
      <c r="H19" s="17"/>
      <c r="I19" s="17"/>
    </row>
    <row r="20" spans="1:9" ht="21.75" customHeight="1">
      <c r="A20" s="21" t="s">
        <v>676</v>
      </c>
      <c r="B20" s="35">
        <v>284</v>
      </c>
      <c r="C20" s="35">
        <v>288</v>
      </c>
      <c r="D20" s="20">
        <v>279.22955000000002</v>
      </c>
      <c r="E20" s="20">
        <v>269.63407000000001</v>
      </c>
      <c r="F20" s="20">
        <v>274.80955999999998</v>
      </c>
      <c r="G20" s="20">
        <v>280.38612999999998</v>
      </c>
      <c r="H20" s="17"/>
      <c r="I20" s="17"/>
    </row>
    <row r="21" spans="1:9" ht="21.75" customHeight="1">
      <c r="A21" s="21" t="s">
        <v>677</v>
      </c>
      <c r="B21" s="35">
        <v>372</v>
      </c>
      <c r="C21" s="35">
        <v>377</v>
      </c>
      <c r="D21" s="20">
        <v>393.01799999999997</v>
      </c>
      <c r="E21" s="20">
        <v>384.86700000000002</v>
      </c>
      <c r="F21" s="20">
        <v>370.60331000000002</v>
      </c>
      <c r="G21" s="20">
        <v>366.90352000000001</v>
      </c>
      <c r="H21" s="17"/>
      <c r="I21" s="17"/>
    </row>
    <row r="22" spans="1:9" ht="21.75" customHeight="1">
      <c r="A22" s="25" t="s">
        <v>678</v>
      </c>
      <c r="B22" s="36">
        <v>245</v>
      </c>
      <c r="C22" s="36">
        <v>239</v>
      </c>
      <c r="D22" s="26">
        <v>223.005101</v>
      </c>
      <c r="E22" s="26">
        <v>233.25412800000001</v>
      </c>
      <c r="F22" s="26">
        <v>219.38683</v>
      </c>
      <c r="G22" s="26">
        <v>239.08904200000001</v>
      </c>
      <c r="H22" s="17"/>
      <c r="I22" s="17"/>
    </row>
    <row r="23" spans="1:9" ht="21.75" customHeight="1">
      <c r="A23" s="27" t="s">
        <v>589</v>
      </c>
      <c r="B23" s="38">
        <v>1223</v>
      </c>
      <c r="C23" s="50">
        <v>1218</v>
      </c>
      <c r="D23" s="50">
        <v>1141.781651</v>
      </c>
      <c r="E23" s="50">
        <v>1145.9281980000001</v>
      </c>
      <c r="F23" s="50">
        <v>963.88140999999996</v>
      </c>
      <c r="G23" s="50">
        <v>886.378692</v>
      </c>
      <c r="H23" s="79"/>
      <c r="I23" s="79"/>
    </row>
    <row r="24" spans="1:9" ht="21.75" customHeight="1">
      <c r="A24" s="120" t="s">
        <v>590</v>
      </c>
      <c r="B24" s="121">
        <v>322</v>
      </c>
      <c r="C24" s="122">
        <v>328</v>
      </c>
      <c r="D24" s="123">
        <v>292.6350709578</v>
      </c>
      <c r="E24" s="123">
        <v>226.85465600000001</v>
      </c>
      <c r="F24" s="123">
        <v>222.06741</v>
      </c>
      <c r="G24" s="123">
        <v>157.03385900000001</v>
      </c>
      <c r="H24" s="38">
        <v>281.24991399999999</v>
      </c>
      <c r="I24" s="38">
        <v>290.38548300000002</v>
      </c>
    </row>
    <row r="25" spans="1:9" ht="21.75" customHeight="1">
      <c r="A25" s="19" t="s">
        <v>679</v>
      </c>
      <c r="B25" s="69">
        <v>153</v>
      </c>
      <c r="C25" s="69">
        <v>230</v>
      </c>
      <c r="D25" s="70">
        <v>254.40934999999999</v>
      </c>
      <c r="E25" s="70">
        <v>222.95266000000001</v>
      </c>
      <c r="F25" s="70">
        <v>208.38149000000001</v>
      </c>
      <c r="G25" s="70">
        <v>180.84336999999999</v>
      </c>
      <c r="H25" s="124">
        <v>143.56845999999999</v>
      </c>
      <c r="I25" s="125">
        <v>147.72042999999999</v>
      </c>
    </row>
    <row r="26" spans="1:9" ht="21.75" customHeight="1">
      <c r="A26" s="25" t="s">
        <v>680</v>
      </c>
      <c r="B26" s="36">
        <v>551</v>
      </c>
      <c r="C26" s="36">
        <v>532</v>
      </c>
      <c r="D26" s="26">
        <v>521.68803000000003</v>
      </c>
      <c r="E26" s="26">
        <v>526.25559999999996</v>
      </c>
      <c r="F26" s="26">
        <v>519.07208000000003</v>
      </c>
      <c r="G26" s="26">
        <v>524.86884999999995</v>
      </c>
      <c r="H26" s="37">
        <v>566.38805000000002</v>
      </c>
      <c r="I26" s="126">
        <v>568.03620000000001</v>
      </c>
    </row>
    <row r="27" spans="1:9" ht="21.75" customHeight="1">
      <c r="A27" s="27" t="s">
        <v>645</v>
      </c>
      <c r="B27" s="127">
        <v>704</v>
      </c>
      <c r="C27" s="128">
        <f>SUM(C25:C26)</f>
        <v>762</v>
      </c>
      <c r="D27" s="50">
        <v>776.09738000000004</v>
      </c>
      <c r="E27" s="50">
        <v>749.20826</v>
      </c>
      <c r="F27" s="50">
        <v>727.45357000000001</v>
      </c>
      <c r="G27" s="50">
        <v>705.71222</v>
      </c>
      <c r="H27" s="38">
        <v>709.95650999999998</v>
      </c>
      <c r="I27" s="38">
        <v>715.75662999999997</v>
      </c>
    </row>
    <row r="28" spans="1:9" ht="21.75" customHeight="1">
      <c r="A28" s="120" t="s">
        <v>640</v>
      </c>
      <c r="B28" s="121">
        <v>239</v>
      </c>
      <c r="C28" s="122">
        <v>260</v>
      </c>
      <c r="D28" s="123">
        <v>248.28183999999999</v>
      </c>
      <c r="E28" s="123">
        <v>207.06074000000001</v>
      </c>
      <c r="F28" s="123">
        <v>292.66642999999999</v>
      </c>
      <c r="G28" s="123">
        <v>314.07738000000001</v>
      </c>
      <c r="H28" s="133"/>
      <c r="I28" s="133"/>
    </row>
    <row r="29" spans="1:9" ht="21.75" customHeight="1">
      <c r="A29" s="120" t="s">
        <v>681</v>
      </c>
      <c r="B29" s="129">
        <v>2487</v>
      </c>
      <c r="C29" s="123">
        <f>SUM(C23,C24,C27,C28)</f>
        <v>2568</v>
      </c>
      <c r="D29" s="123">
        <v>2458.7959419578001</v>
      </c>
      <c r="E29" s="123">
        <v>2329.0518539999998</v>
      </c>
      <c r="F29" s="123">
        <v>2206.06882</v>
      </c>
      <c r="G29" s="123">
        <v>2063.202151</v>
      </c>
      <c r="H29" s="129">
        <v>2232.4430510000002</v>
      </c>
      <c r="I29" s="129">
        <v>2218.858643</v>
      </c>
    </row>
    <row r="30" spans="1:9" ht="21.75" customHeight="1">
      <c r="A30" s="30" t="s">
        <v>682</v>
      </c>
      <c r="B30" s="30"/>
      <c r="C30" s="30"/>
      <c r="D30" s="30"/>
      <c r="E30" s="30"/>
      <c r="F30" s="30"/>
      <c r="G30" s="30"/>
      <c r="H30" s="30"/>
      <c r="I30" s="30"/>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sheetProtection algorithmName="SHA-512" hashValue="CLjACeftR72E+CqB3zLDmlxTgjpnV/DwVO485H61pqZ2CJHapu2L46vX9EtdQ/b6QuzzvH80fZ8UJQxdRCbQZg==" saltValue="PoAcHZDLL0B3vDF7hESePw==" spinCount="100000" sheet="1" objects="1" scenarios="1"/>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34</vt:i4>
      </vt:variant>
      <vt:variant>
        <vt:lpstr>Named Ranges</vt:lpstr>
      </vt:variant>
      <vt:variant>
        <vt:i4>3</vt:i4>
      </vt:variant>
    </vt:vector>
  </HeadingPairs>
  <TitlesOfParts>
    <vt:vector size="37" baseType="lpstr">
      <vt:lpstr>Introduction</vt:lpstr>
      <vt:lpstr>GRI content index</vt:lpstr>
      <vt:lpstr>SERF index</vt:lpstr>
      <vt:lpstr>National Value Distribution</vt:lpstr>
      <vt:lpstr>Government and Tax Transparency</vt:lpstr>
      <vt:lpstr>Policy Influence</vt:lpstr>
      <vt:lpstr>Supply Chain</vt:lpstr>
      <vt:lpstr>Code of Conduct </vt:lpstr>
      <vt:lpstr>Production</vt:lpstr>
      <vt:lpstr>GHG Emissions</vt:lpstr>
      <vt:lpstr>Energy</vt:lpstr>
      <vt:lpstr>Regional Energy</vt:lpstr>
      <vt:lpstr>Energy and Carbon Performance</vt:lpstr>
      <vt:lpstr>Water</vt:lpstr>
      <vt:lpstr>Environmental OPEX and CAPEX</vt:lpstr>
      <vt:lpstr>Environment &amp; Compliance</vt:lpstr>
      <vt:lpstr>Tailings and Waste</vt:lpstr>
      <vt:lpstr>Land Management &amp; Biodiversity</vt:lpstr>
      <vt:lpstr>Closure Costs  </vt:lpstr>
      <vt:lpstr>Safety</vt:lpstr>
      <vt:lpstr>Health</vt:lpstr>
      <vt:lpstr>Workforce</vt:lpstr>
      <vt:lpstr> Diversity &amp; Equal Opportunity</vt:lpstr>
      <vt:lpstr>Remuneration </vt:lpstr>
      <vt:lpstr>Hiring and Turnover</vt:lpstr>
      <vt:lpstr>Training </vt:lpstr>
      <vt:lpstr>Host Community Employment</vt:lpstr>
      <vt:lpstr>Host Community Procurement</vt:lpstr>
      <vt:lpstr>Host Community Value Creation</vt:lpstr>
      <vt:lpstr>Socio Economic Development $</vt:lpstr>
      <vt:lpstr>Community Grievances</vt:lpstr>
      <vt:lpstr>Stakeholder Engagement</vt:lpstr>
      <vt:lpstr>Education Skills and Capacity </vt:lpstr>
      <vt:lpstr>Employee Support Programs</vt:lpstr>
      <vt:lpstr>Energy!Print_Area</vt:lpstr>
      <vt:lpstr>Introduction!Print_Area</vt:lpstr>
      <vt:lpstr>Water!Print_Area</vt:lpstr>
    </vt:vector>
  </TitlesOfParts>
  <Manager/>
  <Company>Workiva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Dean Van Lelyveld</cp:lastModifiedBy>
  <cp:revision>2</cp:revision>
  <dcterms:created xsi:type="dcterms:W3CDTF">2024-04-16T08:30:08Z</dcterms:created>
  <dcterms:modified xsi:type="dcterms:W3CDTF">2024-08-21T06:21:08Z</dcterms:modified>
  <cp:category/>
</cp:coreProperties>
</file>